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artin/Vintage/0050 My DEC Documentation/"/>
    </mc:Choice>
  </mc:AlternateContent>
  <bookViews>
    <workbookView xWindow="1820" yWindow="460" windowWidth="25760" windowHeight="17540" tabRatio="500"/>
  </bookViews>
  <sheets>
    <sheet name="Instructions" sheetId="7" r:id="rId1"/>
    <sheet name="M847E" sheetId="1" r:id="rId2"/>
    <sheet name="Installed" sheetId="6" r:id="rId3"/>
    <sheet name="Disassembly" sheetId="3" r:id="rId4"/>
    <sheet name="Output" sheetId="5" r:id="rId5"/>
    <sheet name="PDP8E" sheetId="2" r:id="rId6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2" l="1"/>
  <c r="H6" i="2"/>
  <c r="D3" i="5"/>
  <c r="B3" i="5"/>
  <c r="B2" i="5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M31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M59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M87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M115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M143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M171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M199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F5" i="3"/>
  <c r="S5" i="3"/>
  <c r="F7" i="5"/>
  <c r="O7" i="6"/>
  <c r="N7" i="6"/>
  <c r="F6" i="3"/>
  <c r="S6" i="3"/>
  <c r="F8" i="5"/>
  <c r="F7" i="3"/>
  <c r="S7" i="3"/>
  <c r="F9" i="5"/>
  <c r="F8" i="3"/>
  <c r="S8" i="3"/>
  <c r="F10" i="5"/>
  <c r="F9" i="3"/>
  <c r="S9" i="3"/>
  <c r="F11" i="5"/>
  <c r="F10" i="3"/>
  <c r="S10" i="3"/>
  <c r="F12" i="5"/>
  <c r="O11" i="6"/>
  <c r="N11" i="6"/>
  <c r="P12" i="1"/>
  <c r="F11" i="3"/>
  <c r="S11" i="3"/>
  <c r="F13" i="5"/>
  <c r="F12" i="3"/>
  <c r="S12" i="3"/>
  <c r="F14" i="5"/>
  <c r="O10" i="6"/>
  <c r="N10" i="6"/>
  <c r="F13" i="3"/>
  <c r="S13" i="3"/>
  <c r="F15" i="5"/>
  <c r="F14" i="3"/>
  <c r="S14" i="3"/>
  <c r="F16" i="5"/>
  <c r="F15" i="3"/>
  <c r="S15" i="3"/>
  <c r="F17" i="5"/>
  <c r="F16" i="3"/>
  <c r="S16" i="3"/>
  <c r="F18" i="5"/>
  <c r="F17" i="3"/>
  <c r="S17" i="3"/>
  <c r="F19" i="5"/>
  <c r="F18" i="3"/>
  <c r="S18" i="3"/>
  <c r="F20" i="5"/>
  <c r="F19" i="3"/>
  <c r="S19" i="3"/>
  <c r="F21" i="5"/>
  <c r="F20" i="3"/>
  <c r="S20" i="3"/>
  <c r="F22" i="5"/>
  <c r="F21" i="3"/>
  <c r="S21" i="3"/>
  <c r="F23" i="5"/>
  <c r="F22" i="3"/>
  <c r="S22" i="3"/>
  <c r="F24" i="5"/>
  <c r="F23" i="3"/>
  <c r="S23" i="3"/>
  <c r="F25" i="5"/>
  <c r="F24" i="3"/>
  <c r="S24" i="3"/>
  <c r="F26" i="5"/>
  <c r="F25" i="3"/>
  <c r="S25" i="3"/>
  <c r="F27" i="5"/>
  <c r="F26" i="3"/>
  <c r="S26" i="3"/>
  <c r="F28" i="5"/>
  <c r="O47" i="6"/>
  <c r="N47" i="6"/>
  <c r="O50" i="6"/>
  <c r="N50" i="6"/>
  <c r="F27" i="3"/>
  <c r="S27" i="3"/>
  <c r="F29" i="5"/>
  <c r="O9" i="6"/>
  <c r="N9" i="6"/>
  <c r="F28" i="3"/>
  <c r="S28" i="3"/>
  <c r="F30" i="5"/>
  <c r="F29" i="3"/>
  <c r="S29" i="3"/>
  <c r="F31" i="5"/>
  <c r="O8" i="6"/>
  <c r="N8" i="6"/>
  <c r="F30" i="3"/>
  <c r="S30" i="3"/>
  <c r="F32" i="5"/>
  <c r="F31" i="3"/>
  <c r="S31" i="3"/>
  <c r="F33" i="5"/>
  <c r="F32" i="3"/>
  <c r="S32" i="3"/>
  <c r="F34" i="5"/>
  <c r="O62" i="6"/>
  <c r="N62" i="6"/>
  <c r="F33" i="3"/>
  <c r="S33" i="3"/>
  <c r="F35" i="5"/>
  <c r="F34" i="3"/>
  <c r="S34" i="3"/>
  <c r="F36" i="5"/>
  <c r="F35" i="3"/>
  <c r="S35" i="3"/>
  <c r="F37" i="5"/>
  <c r="F4" i="3"/>
  <c r="S4" i="3"/>
  <c r="F6" i="5"/>
  <c r="D5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6" i="5"/>
  <c r="M3" i="6"/>
  <c r="O6" i="6"/>
  <c r="G5" i="3"/>
  <c r="G6" i="3"/>
  <c r="G7" i="3"/>
  <c r="G8" i="3"/>
  <c r="G9" i="3"/>
  <c r="G10" i="3"/>
  <c r="M6" i="6"/>
  <c r="N6" i="6"/>
  <c r="M7" i="6"/>
  <c r="M8" i="6"/>
  <c r="M9" i="6"/>
  <c r="M10" i="6"/>
  <c r="M11" i="6"/>
  <c r="M12" i="6"/>
  <c r="N12" i="6"/>
  <c r="O12" i="6"/>
  <c r="M13" i="6"/>
  <c r="N13" i="6"/>
  <c r="O13" i="6"/>
  <c r="M14" i="6"/>
  <c r="N14" i="6"/>
  <c r="O14" i="6"/>
  <c r="M15" i="6"/>
  <c r="N15" i="6"/>
  <c r="O15" i="6"/>
  <c r="M16" i="6"/>
  <c r="N16" i="6"/>
  <c r="O16" i="6"/>
  <c r="M17" i="6"/>
  <c r="N17" i="6"/>
  <c r="O17" i="6"/>
  <c r="M18" i="6"/>
  <c r="N18" i="6"/>
  <c r="O18" i="6"/>
  <c r="M19" i="6"/>
  <c r="N19" i="6"/>
  <c r="O19" i="6"/>
  <c r="M20" i="6"/>
  <c r="N20" i="6"/>
  <c r="O20" i="6"/>
  <c r="M21" i="6"/>
  <c r="N21" i="6"/>
  <c r="O21" i="6"/>
  <c r="M22" i="6"/>
  <c r="N22" i="6"/>
  <c r="O22" i="6"/>
  <c r="M23" i="6"/>
  <c r="N23" i="6"/>
  <c r="O23" i="6"/>
  <c r="M24" i="6"/>
  <c r="N24" i="6"/>
  <c r="O24" i="6"/>
  <c r="M25" i="6"/>
  <c r="N25" i="6"/>
  <c r="O25" i="6"/>
  <c r="M26" i="6"/>
  <c r="N26" i="6"/>
  <c r="O26" i="6"/>
  <c r="M27" i="6"/>
  <c r="N27" i="6"/>
  <c r="O27" i="6"/>
  <c r="M28" i="6"/>
  <c r="N28" i="6"/>
  <c r="O28" i="6"/>
  <c r="M29" i="6"/>
  <c r="N29" i="6"/>
  <c r="O29" i="6"/>
  <c r="H21" i="6"/>
  <c r="D4" i="6"/>
  <c r="N31" i="6"/>
  <c r="M34" i="6"/>
  <c r="N34" i="6"/>
  <c r="O34" i="6"/>
  <c r="M35" i="6"/>
  <c r="N35" i="6"/>
  <c r="O35" i="6"/>
  <c r="M36" i="6"/>
  <c r="N36" i="6"/>
  <c r="O36" i="6"/>
  <c r="M37" i="6"/>
  <c r="N37" i="6"/>
  <c r="O37" i="6"/>
  <c r="M38" i="6"/>
  <c r="N38" i="6"/>
  <c r="O38" i="6"/>
  <c r="M39" i="6"/>
  <c r="N39" i="6"/>
  <c r="O39" i="6"/>
  <c r="M40" i="6"/>
  <c r="N40" i="6"/>
  <c r="O40" i="6"/>
  <c r="M41" i="6"/>
  <c r="N41" i="6"/>
  <c r="O41" i="6"/>
  <c r="M42" i="6"/>
  <c r="N42" i="6"/>
  <c r="O42" i="6"/>
  <c r="M43" i="6"/>
  <c r="N43" i="6"/>
  <c r="O43" i="6"/>
  <c r="M44" i="6"/>
  <c r="N44" i="6"/>
  <c r="O44" i="6"/>
  <c r="M45" i="6"/>
  <c r="N45" i="6"/>
  <c r="O45" i="6"/>
  <c r="M46" i="6"/>
  <c r="N46" i="6"/>
  <c r="O46" i="6"/>
  <c r="M47" i="6"/>
  <c r="M48" i="6"/>
  <c r="N48" i="6"/>
  <c r="O48" i="6"/>
  <c r="M49" i="6"/>
  <c r="N49" i="6"/>
  <c r="O49" i="6"/>
  <c r="M50" i="6"/>
  <c r="M51" i="6"/>
  <c r="N51" i="6"/>
  <c r="O51" i="6"/>
  <c r="M52" i="6"/>
  <c r="N52" i="6"/>
  <c r="O52" i="6"/>
  <c r="M53" i="6"/>
  <c r="N53" i="6"/>
  <c r="O53" i="6"/>
  <c r="M54" i="6"/>
  <c r="N54" i="6"/>
  <c r="O54" i="6"/>
  <c r="M55" i="6"/>
  <c r="N55" i="6"/>
  <c r="O55" i="6"/>
  <c r="M56" i="6"/>
  <c r="N56" i="6"/>
  <c r="O56" i="6"/>
  <c r="M57" i="6"/>
  <c r="N57" i="6"/>
  <c r="O57" i="6"/>
  <c r="H20" i="6"/>
  <c r="D5" i="6"/>
  <c r="N59" i="6"/>
  <c r="M62" i="6"/>
  <c r="M63" i="6"/>
  <c r="N63" i="6"/>
  <c r="O63" i="6"/>
  <c r="M64" i="6"/>
  <c r="N64" i="6"/>
  <c r="O64" i="6"/>
  <c r="M65" i="6"/>
  <c r="N65" i="6"/>
  <c r="O65" i="6"/>
  <c r="M66" i="6"/>
  <c r="N66" i="6"/>
  <c r="O66" i="6"/>
  <c r="M67" i="6"/>
  <c r="N67" i="6"/>
  <c r="O67" i="6"/>
  <c r="M68" i="6"/>
  <c r="N68" i="6"/>
  <c r="O68" i="6"/>
  <c r="M69" i="6"/>
  <c r="N69" i="6"/>
  <c r="O69" i="6"/>
  <c r="M70" i="6"/>
  <c r="N70" i="6"/>
  <c r="O70" i="6"/>
  <c r="M71" i="6"/>
  <c r="N71" i="6"/>
  <c r="O71" i="6"/>
  <c r="M72" i="6"/>
  <c r="N72" i="6"/>
  <c r="O72" i="6"/>
  <c r="M73" i="6"/>
  <c r="N73" i="6"/>
  <c r="O73" i="6"/>
  <c r="M74" i="6"/>
  <c r="N74" i="6"/>
  <c r="O74" i="6"/>
  <c r="M75" i="6"/>
  <c r="N75" i="6"/>
  <c r="O75" i="6"/>
  <c r="M76" i="6"/>
  <c r="N76" i="6"/>
  <c r="O76" i="6"/>
  <c r="M77" i="6"/>
  <c r="N77" i="6"/>
  <c r="O77" i="6"/>
  <c r="M78" i="6"/>
  <c r="N78" i="6"/>
  <c r="O78" i="6"/>
  <c r="M79" i="6"/>
  <c r="N79" i="6"/>
  <c r="O79" i="6"/>
  <c r="M80" i="6"/>
  <c r="N80" i="6"/>
  <c r="O80" i="6"/>
  <c r="M81" i="6"/>
  <c r="N81" i="6"/>
  <c r="O81" i="6"/>
  <c r="M82" i="6"/>
  <c r="N82" i="6"/>
  <c r="O82" i="6"/>
  <c r="M83" i="6"/>
  <c r="N83" i="6"/>
  <c r="O83" i="6"/>
  <c r="M84" i="6"/>
  <c r="N84" i="6"/>
  <c r="O84" i="6"/>
  <c r="M85" i="6"/>
  <c r="N85" i="6"/>
  <c r="O85" i="6"/>
  <c r="H22" i="6"/>
  <c r="D6" i="6"/>
  <c r="N87" i="6"/>
  <c r="M90" i="6"/>
  <c r="N90" i="6"/>
  <c r="O90" i="6"/>
  <c r="M91" i="6"/>
  <c r="N91" i="6"/>
  <c r="O91" i="6"/>
  <c r="M92" i="6"/>
  <c r="N92" i="6"/>
  <c r="O92" i="6"/>
  <c r="M93" i="6"/>
  <c r="N93" i="6"/>
  <c r="O93" i="6"/>
  <c r="M94" i="6"/>
  <c r="N94" i="6"/>
  <c r="O94" i="6"/>
  <c r="M95" i="6"/>
  <c r="N95" i="6"/>
  <c r="O95" i="6"/>
  <c r="M96" i="6"/>
  <c r="N96" i="6"/>
  <c r="O96" i="6"/>
  <c r="M97" i="6"/>
  <c r="N97" i="6"/>
  <c r="O97" i="6"/>
  <c r="M98" i="6"/>
  <c r="N98" i="6"/>
  <c r="O98" i="6"/>
  <c r="M99" i="6"/>
  <c r="N99" i="6"/>
  <c r="O99" i="6"/>
  <c r="M100" i="6"/>
  <c r="N100" i="6"/>
  <c r="O100" i="6"/>
  <c r="M101" i="6"/>
  <c r="N101" i="6"/>
  <c r="O101" i="6"/>
  <c r="M102" i="6"/>
  <c r="N102" i="6"/>
  <c r="O102" i="6"/>
  <c r="M103" i="6"/>
  <c r="N103" i="6"/>
  <c r="O103" i="6"/>
  <c r="M104" i="6"/>
  <c r="N104" i="6"/>
  <c r="O104" i="6"/>
  <c r="M105" i="6"/>
  <c r="N105" i="6"/>
  <c r="O105" i="6"/>
  <c r="M106" i="6"/>
  <c r="N106" i="6"/>
  <c r="O106" i="6"/>
  <c r="M107" i="6"/>
  <c r="N107" i="6"/>
  <c r="O107" i="6"/>
  <c r="M108" i="6"/>
  <c r="N108" i="6"/>
  <c r="O108" i="6"/>
  <c r="M109" i="6"/>
  <c r="N109" i="6"/>
  <c r="O109" i="6"/>
  <c r="M110" i="6"/>
  <c r="N110" i="6"/>
  <c r="O110" i="6"/>
  <c r="M111" i="6"/>
  <c r="N111" i="6"/>
  <c r="O111" i="6"/>
  <c r="M112" i="6"/>
  <c r="N112" i="6"/>
  <c r="O112" i="6"/>
  <c r="M113" i="6"/>
  <c r="N113" i="6"/>
  <c r="O113" i="6"/>
  <c r="H23" i="6"/>
  <c r="D7" i="6"/>
  <c r="N115" i="6"/>
  <c r="M118" i="6"/>
  <c r="N118" i="6"/>
  <c r="O118" i="6"/>
  <c r="M119" i="6"/>
  <c r="N119" i="6"/>
  <c r="O119" i="6"/>
  <c r="M120" i="6"/>
  <c r="N120" i="6"/>
  <c r="O120" i="6"/>
  <c r="M121" i="6"/>
  <c r="N121" i="6"/>
  <c r="O121" i="6"/>
  <c r="M122" i="6"/>
  <c r="N122" i="6"/>
  <c r="O122" i="6"/>
  <c r="M123" i="6"/>
  <c r="N123" i="6"/>
  <c r="O123" i="6"/>
  <c r="M124" i="6"/>
  <c r="N124" i="6"/>
  <c r="O124" i="6"/>
  <c r="M125" i="6"/>
  <c r="N125" i="6"/>
  <c r="O125" i="6"/>
  <c r="M126" i="6"/>
  <c r="N126" i="6"/>
  <c r="O126" i="6"/>
  <c r="M127" i="6"/>
  <c r="N127" i="6"/>
  <c r="O127" i="6"/>
  <c r="M128" i="6"/>
  <c r="N128" i="6"/>
  <c r="O128" i="6"/>
  <c r="M129" i="6"/>
  <c r="N129" i="6"/>
  <c r="O129" i="6"/>
  <c r="M130" i="6"/>
  <c r="N130" i="6"/>
  <c r="O130" i="6"/>
  <c r="M131" i="6"/>
  <c r="N131" i="6"/>
  <c r="O131" i="6"/>
  <c r="M132" i="6"/>
  <c r="N132" i="6"/>
  <c r="O132" i="6"/>
  <c r="M133" i="6"/>
  <c r="N133" i="6"/>
  <c r="O133" i="6"/>
  <c r="M134" i="6"/>
  <c r="N134" i="6"/>
  <c r="O134" i="6"/>
  <c r="M135" i="6"/>
  <c r="N135" i="6"/>
  <c r="O135" i="6"/>
  <c r="M136" i="6"/>
  <c r="N136" i="6"/>
  <c r="O136" i="6"/>
  <c r="M137" i="6"/>
  <c r="N137" i="6"/>
  <c r="O137" i="6"/>
  <c r="M138" i="6"/>
  <c r="N138" i="6"/>
  <c r="O138" i="6"/>
  <c r="M139" i="6"/>
  <c r="N139" i="6"/>
  <c r="O139" i="6"/>
  <c r="M140" i="6"/>
  <c r="N140" i="6"/>
  <c r="O140" i="6"/>
  <c r="M141" i="6"/>
  <c r="N141" i="6"/>
  <c r="O141" i="6"/>
  <c r="D8" i="6"/>
  <c r="N143" i="6"/>
  <c r="M146" i="6"/>
  <c r="N146" i="6"/>
  <c r="O146" i="6"/>
  <c r="M147" i="6"/>
  <c r="N147" i="6"/>
  <c r="O147" i="6"/>
  <c r="M148" i="6"/>
  <c r="N148" i="6"/>
  <c r="O148" i="6"/>
  <c r="M149" i="6"/>
  <c r="N149" i="6"/>
  <c r="O149" i="6"/>
  <c r="M150" i="6"/>
  <c r="N150" i="6"/>
  <c r="O150" i="6"/>
  <c r="M151" i="6"/>
  <c r="N151" i="6"/>
  <c r="O151" i="6"/>
  <c r="M152" i="6"/>
  <c r="N152" i="6"/>
  <c r="O152" i="6"/>
  <c r="M153" i="6"/>
  <c r="N153" i="6"/>
  <c r="O153" i="6"/>
  <c r="M154" i="6"/>
  <c r="N154" i="6"/>
  <c r="O154" i="6"/>
  <c r="M155" i="6"/>
  <c r="N155" i="6"/>
  <c r="O155" i="6"/>
  <c r="M156" i="6"/>
  <c r="N156" i="6"/>
  <c r="O156" i="6"/>
  <c r="M157" i="6"/>
  <c r="N157" i="6"/>
  <c r="O157" i="6"/>
  <c r="M158" i="6"/>
  <c r="N158" i="6"/>
  <c r="O158" i="6"/>
  <c r="M159" i="6"/>
  <c r="N159" i="6"/>
  <c r="O159" i="6"/>
  <c r="M160" i="6"/>
  <c r="N160" i="6"/>
  <c r="O160" i="6"/>
  <c r="M161" i="6"/>
  <c r="N161" i="6"/>
  <c r="O161" i="6"/>
  <c r="M162" i="6"/>
  <c r="N162" i="6"/>
  <c r="O162" i="6"/>
  <c r="M163" i="6"/>
  <c r="N163" i="6"/>
  <c r="O163" i="6"/>
  <c r="M164" i="6"/>
  <c r="N164" i="6"/>
  <c r="O164" i="6"/>
  <c r="M165" i="6"/>
  <c r="N165" i="6"/>
  <c r="O165" i="6"/>
  <c r="M166" i="6"/>
  <c r="N166" i="6"/>
  <c r="O166" i="6"/>
  <c r="M167" i="6"/>
  <c r="N167" i="6"/>
  <c r="O167" i="6"/>
  <c r="M168" i="6"/>
  <c r="N168" i="6"/>
  <c r="O168" i="6"/>
  <c r="M169" i="6"/>
  <c r="N169" i="6"/>
  <c r="O169" i="6"/>
  <c r="D9" i="6"/>
  <c r="N171" i="6"/>
  <c r="M174" i="6"/>
  <c r="N174" i="6"/>
  <c r="O174" i="6"/>
  <c r="M175" i="6"/>
  <c r="N175" i="6"/>
  <c r="O175" i="6"/>
  <c r="M176" i="6"/>
  <c r="N176" i="6"/>
  <c r="O176" i="6"/>
  <c r="M177" i="6"/>
  <c r="N177" i="6"/>
  <c r="O177" i="6"/>
  <c r="M178" i="6"/>
  <c r="N178" i="6"/>
  <c r="O178" i="6"/>
  <c r="M179" i="6"/>
  <c r="N179" i="6"/>
  <c r="O179" i="6"/>
  <c r="M180" i="6"/>
  <c r="N180" i="6"/>
  <c r="O180" i="6"/>
  <c r="M181" i="6"/>
  <c r="N181" i="6"/>
  <c r="O181" i="6"/>
  <c r="M182" i="6"/>
  <c r="N182" i="6"/>
  <c r="O182" i="6"/>
  <c r="M183" i="6"/>
  <c r="N183" i="6"/>
  <c r="O183" i="6"/>
  <c r="M184" i="6"/>
  <c r="N184" i="6"/>
  <c r="O184" i="6"/>
  <c r="M185" i="6"/>
  <c r="N185" i="6"/>
  <c r="O185" i="6"/>
  <c r="M186" i="6"/>
  <c r="N186" i="6"/>
  <c r="O186" i="6"/>
  <c r="M187" i="6"/>
  <c r="N187" i="6"/>
  <c r="O187" i="6"/>
  <c r="M188" i="6"/>
  <c r="N188" i="6"/>
  <c r="O188" i="6"/>
  <c r="M189" i="6"/>
  <c r="N189" i="6"/>
  <c r="O189" i="6"/>
  <c r="M190" i="6"/>
  <c r="N190" i="6"/>
  <c r="O190" i="6"/>
  <c r="M191" i="6"/>
  <c r="N191" i="6"/>
  <c r="O191" i="6"/>
  <c r="M192" i="6"/>
  <c r="N192" i="6"/>
  <c r="O192" i="6"/>
  <c r="M193" i="6"/>
  <c r="N193" i="6"/>
  <c r="O193" i="6"/>
  <c r="M194" i="6"/>
  <c r="N194" i="6"/>
  <c r="O194" i="6"/>
  <c r="M195" i="6"/>
  <c r="N195" i="6"/>
  <c r="O195" i="6"/>
  <c r="M196" i="6"/>
  <c r="N196" i="6"/>
  <c r="O196" i="6"/>
  <c r="M197" i="6"/>
  <c r="N197" i="6"/>
  <c r="O197" i="6"/>
  <c r="D10" i="6"/>
  <c r="N199" i="6"/>
  <c r="M202" i="6"/>
  <c r="N202" i="6"/>
  <c r="O202" i="6"/>
  <c r="M203" i="6"/>
  <c r="N203" i="6"/>
  <c r="O203" i="6"/>
  <c r="M204" i="6"/>
  <c r="N204" i="6"/>
  <c r="O204" i="6"/>
  <c r="M205" i="6"/>
  <c r="N205" i="6"/>
  <c r="O205" i="6"/>
  <c r="M206" i="6"/>
  <c r="N206" i="6"/>
  <c r="O206" i="6"/>
  <c r="M207" i="6"/>
  <c r="N207" i="6"/>
  <c r="O207" i="6"/>
  <c r="M208" i="6"/>
  <c r="N208" i="6"/>
  <c r="O208" i="6"/>
  <c r="M209" i="6"/>
  <c r="N209" i="6"/>
  <c r="O209" i="6"/>
  <c r="M210" i="6"/>
  <c r="N210" i="6"/>
  <c r="O210" i="6"/>
  <c r="M211" i="6"/>
  <c r="N211" i="6"/>
  <c r="O211" i="6"/>
  <c r="M212" i="6"/>
  <c r="N212" i="6"/>
  <c r="O212" i="6"/>
  <c r="M213" i="6"/>
  <c r="N213" i="6"/>
  <c r="O213" i="6"/>
  <c r="M214" i="6"/>
  <c r="N214" i="6"/>
  <c r="O214" i="6"/>
  <c r="M215" i="6"/>
  <c r="N215" i="6"/>
  <c r="O215" i="6"/>
  <c r="M216" i="6"/>
  <c r="N216" i="6"/>
  <c r="O216" i="6"/>
  <c r="M217" i="6"/>
  <c r="N217" i="6"/>
  <c r="O217" i="6"/>
  <c r="M218" i="6"/>
  <c r="N218" i="6"/>
  <c r="O218" i="6"/>
  <c r="M219" i="6"/>
  <c r="N219" i="6"/>
  <c r="O219" i="6"/>
  <c r="M220" i="6"/>
  <c r="N220" i="6"/>
  <c r="O220" i="6"/>
  <c r="M221" i="6"/>
  <c r="N221" i="6"/>
  <c r="O221" i="6"/>
  <c r="M222" i="6"/>
  <c r="N222" i="6"/>
  <c r="O222" i="6"/>
  <c r="M223" i="6"/>
  <c r="N223" i="6"/>
  <c r="O223" i="6"/>
  <c r="M224" i="6"/>
  <c r="N224" i="6"/>
  <c r="O224" i="6"/>
  <c r="M225" i="6"/>
  <c r="N225" i="6"/>
  <c r="O225" i="6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4" i="3"/>
  <c r="H30" i="6"/>
  <c r="D3" i="6"/>
  <c r="N3" i="6"/>
  <c r="H4" i="6"/>
  <c r="H33" i="6"/>
  <c r="H32" i="6"/>
  <c r="H31" i="6"/>
  <c r="H29" i="6"/>
  <c r="H34" i="6"/>
  <c r="H24" i="6"/>
  <c r="H10" i="6"/>
  <c r="H28" i="6"/>
  <c r="H13" i="6"/>
  <c r="H18" i="6"/>
  <c r="H19" i="6"/>
  <c r="H7" i="6"/>
  <c r="H8" i="6"/>
  <c r="H5" i="6"/>
  <c r="H6" i="6"/>
  <c r="H11" i="6"/>
  <c r="H38" i="6"/>
  <c r="H16" i="6"/>
  <c r="H9" i="6"/>
  <c r="H35" i="6"/>
  <c r="H15" i="6"/>
  <c r="H14" i="6"/>
  <c r="H12" i="6"/>
  <c r="H17" i="6"/>
  <c r="H25" i="6"/>
  <c r="H37" i="6"/>
  <c r="H36" i="6"/>
  <c r="H26" i="6"/>
  <c r="H27" i="6"/>
  <c r="P4" i="3"/>
  <c r="Q4" i="3"/>
  <c r="E6" i="5"/>
  <c r="E4" i="3"/>
  <c r="C4" i="3"/>
  <c r="E5" i="3"/>
  <c r="C5" i="3"/>
  <c r="E6" i="3"/>
  <c r="C6" i="3"/>
  <c r="E7" i="3"/>
  <c r="C7" i="3"/>
  <c r="E8" i="3"/>
  <c r="C8" i="3"/>
  <c r="E9" i="3"/>
  <c r="C9" i="3"/>
  <c r="E10" i="3"/>
  <c r="C10" i="3"/>
  <c r="E11" i="3"/>
  <c r="C11" i="3"/>
  <c r="E12" i="3"/>
  <c r="C12" i="3"/>
  <c r="E13" i="3"/>
  <c r="C13" i="3"/>
  <c r="E14" i="3"/>
  <c r="C14" i="3"/>
  <c r="E15" i="3"/>
  <c r="C15" i="3"/>
  <c r="E16" i="3"/>
  <c r="C16" i="3"/>
  <c r="E17" i="3"/>
  <c r="C17" i="3"/>
  <c r="E18" i="3"/>
  <c r="C18" i="3"/>
  <c r="E19" i="3"/>
  <c r="C19" i="3"/>
  <c r="E20" i="3"/>
  <c r="C20" i="3"/>
  <c r="E21" i="3"/>
  <c r="C21" i="3"/>
  <c r="E22" i="3"/>
  <c r="C22" i="3"/>
  <c r="E23" i="3"/>
  <c r="C23" i="3"/>
  <c r="E24" i="3"/>
  <c r="C24" i="3"/>
  <c r="E25" i="3"/>
  <c r="C25" i="3"/>
  <c r="E26" i="3"/>
  <c r="C26" i="3"/>
  <c r="E27" i="3"/>
  <c r="C27" i="3"/>
  <c r="E28" i="3"/>
  <c r="C28" i="3"/>
  <c r="E29" i="3"/>
  <c r="C29" i="3"/>
  <c r="E30" i="3"/>
  <c r="C30" i="3"/>
  <c r="E31" i="3"/>
  <c r="C31" i="3"/>
  <c r="E32" i="3"/>
  <c r="C32" i="3"/>
  <c r="E33" i="3"/>
  <c r="C33" i="3"/>
  <c r="E34" i="3"/>
  <c r="C34" i="3"/>
  <c r="E35" i="3"/>
  <c r="C35" i="3"/>
  <c r="L5" i="3"/>
  <c r="M5" i="3"/>
  <c r="E7" i="5"/>
  <c r="E8" i="5"/>
  <c r="P7" i="3"/>
  <c r="E9" i="5"/>
  <c r="L8" i="3"/>
  <c r="M8" i="3"/>
  <c r="E10" i="5"/>
  <c r="L9" i="3"/>
  <c r="M9" i="3"/>
  <c r="E11" i="5"/>
  <c r="P10" i="3"/>
  <c r="Q10" i="3"/>
  <c r="E12" i="5"/>
  <c r="E13" i="5"/>
  <c r="L12" i="3"/>
  <c r="M12" i="3"/>
  <c r="E14" i="5"/>
  <c r="E15" i="5"/>
  <c r="Q14" i="3"/>
  <c r="E16" i="5"/>
  <c r="Q15" i="3"/>
  <c r="E17" i="5"/>
  <c r="L16" i="3"/>
  <c r="M16" i="3"/>
  <c r="E18" i="5"/>
  <c r="L17" i="3"/>
  <c r="M17" i="3"/>
  <c r="E19" i="5"/>
  <c r="P18" i="3"/>
  <c r="Q18" i="3"/>
  <c r="E20" i="5"/>
  <c r="L19" i="3"/>
  <c r="M19" i="3"/>
  <c r="E21" i="5"/>
  <c r="L20" i="3"/>
  <c r="M20" i="3"/>
  <c r="E22" i="5"/>
  <c r="L21" i="3"/>
  <c r="M21" i="3"/>
  <c r="E23" i="5"/>
  <c r="E24" i="5"/>
  <c r="L23" i="3"/>
  <c r="M23" i="3"/>
  <c r="E25" i="5"/>
  <c r="L24" i="3"/>
  <c r="M24" i="3"/>
  <c r="E26" i="5"/>
  <c r="L25" i="3"/>
  <c r="M25" i="3"/>
  <c r="E27" i="5"/>
  <c r="L26" i="3"/>
  <c r="M26" i="3"/>
  <c r="E28" i="5"/>
  <c r="L27" i="3"/>
  <c r="M27" i="3"/>
  <c r="E29" i="5"/>
  <c r="E30" i="5"/>
  <c r="L29" i="3"/>
  <c r="M29" i="3"/>
  <c r="E31" i="5"/>
  <c r="E32" i="5"/>
  <c r="L31" i="3"/>
  <c r="M31" i="3"/>
  <c r="E33" i="5"/>
  <c r="P32" i="3"/>
  <c r="Q32" i="3"/>
  <c r="E34" i="5"/>
  <c r="E35" i="5"/>
  <c r="Q34" i="3"/>
  <c r="P34" i="3"/>
  <c r="E36" i="5"/>
  <c r="Q35" i="3"/>
  <c r="P35" i="3"/>
  <c r="E37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6" i="5"/>
  <c r="L6" i="3"/>
  <c r="M6" i="3"/>
  <c r="L7" i="3"/>
  <c r="M7" i="3"/>
  <c r="L10" i="3"/>
  <c r="M10" i="3"/>
  <c r="L11" i="3"/>
  <c r="M11" i="3"/>
  <c r="L13" i="3"/>
  <c r="M13" i="3"/>
  <c r="L14" i="3"/>
  <c r="M14" i="3"/>
  <c r="L15" i="3"/>
  <c r="M15" i="3"/>
  <c r="L18" i="3"/>
  <c r="M18" i="3"/>
  <c r="L22" i="3"/>
  <c r="M22" i="3"/>
  <c r="L28" i="3"/>
  <c r="M28" i="3"/>
  <c r="L30" i="3"/>
  <c r="M30" i="3"/>
  <c r="L32" i="3"/>
  <c r="M32" i="3"/>
  <c r="L33" i="3"/>
  <c r="M33" i="3"/>
  <c r="L34" i="3"/>
  <c r="M34" i="3"/>
  <c r="L35" i="3"/>
  <c r="M35" i="3"/>
  <c r="L4" i="3"/>
  <c r="M4" i="3"/>
  <c r="AW19" i="1"/>
  <c r="AW18" i="1"/>
  <c r="AW17" i="1"/>
  <c r="B35" i="5"/>
  <c r="B36" i="5"/>
  <c r="B37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6" i="5"/>
  <c r="BM12" i="1"/>
  <c r="O35" i="3"/>
  <c r="N35" i="3"/>
  <c r="BK12" i="1"/>
  <c r="O34" i="3"/>
  <c r="N34" i="3"/>
  <c r="BI12" i="1"/>
  <c r="Q33" i="3"/>
  <c r="P33" i="3"/>
  <c r="O33" i="3"/>
  <c r="N33" i="3"/>
  <c r="BG12" i="1"/>
  <c r="O32" i="3"/>
  <c r="N32" i="3"/>
  <c r="BE12" i="1"/>
  <c r="Q31" i="3"/>
  <c r="P31" i="3"/>
  <c r="O31" i="3"/>
  <c r="N31" i="3"/>
  <c r="BC12" i="1"/>
  <c r="Q30" i="3"/>
  <c r="P30" i="3"/>
  <c r="O30" i="3"/>
  <c r="N30" i="3"/>
  <c r="BA12" i="1"/>
  <c r="Q29" i="3"/>
  <c r="P29" i="3"/>
  <c r="O29" i="3"/>
  <c r="N29" i="3"/>
  <c r="AY12" i="1"/>
  <c r="Q28" i="3"/>
  <c r="P28" i="3"/>
  <c r="O28" i="3"/>
  <c r="N28" i="3"/>
  <c r="AW12" i="1"/>
  <c r="Q27" i="3"/>
  <c r="P27" i="3"/>
  <c r="O27" i="3"/>
  <c r="N27" i="3"/>
  <c r="AU12" i="1"/>
  <c r="Q26" i="3"/>
  <c r="P26" i="3"/>
  <c r="O26" i="3"/>
  <c r="N26" i="3"/>
  <c r="AS12" i="1"/>
  <c r="Q25" i="3"/>
  <c r="P25" i="3"/>
  <c r="O25" i="3"/>
  <c r="N25" i="3"/>
  <c r="AQ12" i="1"/>
  <c r="Q24" i="3"/>
  <c r="P24" i="3"/>
  <c r="O24" i="3"/>
  <c r="N24" i="3"/>
  <c r="AO12" i="1"/>
  <c r="Q23" i="3"/>
  <c r="P23" i="3"/>
  <c r="O23" i="3"/>
  <c r="N23" i="3"/>
  <c r="AM12" i="1"/>
  <c r="Q22" i="3"/>
  <c r="P22" i="3"/>
  <c r="O22" i="3"/>
  <c r="N22" i="3"/>
  <c r="AK12" i="1"/>
  <c r="Q21" i="3"/>
  <c r="P21" i="3"/>
  <c r="O21" i="3"/>
  <c r="N21" i="3"/>
  <c r="AI12" i="1"/>
  <c r="Q20" i="3"/>
  <c r="P20" i="3"/>
  <c r="O20" i="3"/>
  <c r="N20" i="3"/>
  <c r="AF12" i="1"/>
  <c r="Q19" i="3"/>
  <c r="P19" i="3"/>
  <c r="O19" i="3"/>
  <c r="N19" i="3"/>
  <c r="AD12" i="1"/>
  <c r="O18" i="3"/>
  <c r="N18" i="3"/>
  <c r="AB12" i="1"/>
  <c r="Q17" i="3"/>
  <c r="P17" i="3"/>
  <c r="O17" i="3"/>
  <c r="N17" i="3"/>
  <c r="Z12" i="1"/>
  <c r="Q16" i="3"/>
  <c r="P16" i="3"/>
  <c r="O16" i="3"/>
  <c r="N16" i="3"/>
  <c r="X12" i="1"/>
  <c r="P15" i="3"/>
  <c r="O15" i="3"/>
  <c r="N15" i="3"/>
  <c r="V12" i="1"/>
  <c r="P14" i="3"/>
  <c r="O14" i="3"/>
  <c r="N14" i="3"/>
  <c r="T12" i="1"/>
  <c r="Q13" i="3"/>
  <c r="P13" i="3"/>
  <c r="O13" i="3"/>
  <c r="N13" i="3"/>
  <c r="R12" i="1"/>
  <c r="Q12" i="3"/>
  <c r="P12" i="3"/>
  <c r="O12" i="3"/>
  <c r="N12" i="3"/>
  <c r="Q11" i="3"/>
  <c r="P11" i="3"/>
  <c r="O11" i="3"/>
  <c r="N11" i="3"/>
  <c r="N12" i="1"/>
  <c r="O10" i="3"/>
  <c r="N10" i="3"/>
  <c r="L12" i="1"/>
  <c r="Q9" i="3"/>
  <c r="P9" i="3"/>
  <c r="O9" i="3"/>
  <c r="N9" i="3"/>
  <c r="J12" i="1"/>
  <c r="Q8" i="3"/>
  <c r="P8" i="3"/>
  <c r="O8" i="3"/>
  <c r="N8" i="3"/>
  <c r="H12" i="1"/>
  <c r="Q7" i="3"/>
  <c r="O7" i="3"/>
  <c r="N7" i="3"/>
  <c r="F12" i="1"/>
  <c r="Q6" i="3"/>
  <c r="P6" i="3"/>
  <c r="O6" i="3"/>
  <c r="N6" i="3"/>
  <c r="D12" i="1"/>
  <c r="Q5" i="3"/>
  <c r="P5" i="3"/>
  <c r="O5" i="3"/>
  <c r="N5" i="3"/>
  <c r="B12" i="1"/>
  <c r="O4" i="3"/>
  <c r="N4" i="3"/>
  <c r="BQ18" i="1"/>
  <c r="BQ17" i="1"/>
  <c r="BQ13" i="1"/>
  <c r="BQ12" i="1"/>
</calcChain>
</file>

<file path=xl/sharedStrings.xml><?xml version="1.0" encoding="utf-8"?>
<sst xmlns="http://schemas.openxmlformats.org/spreadsheetml/2006/main" count="2180" uniqueCount="851">
  <si>
    <t>X = No Diode</t>
  </si>
  <si>
    <t>O = Diode Installed</t>
  </si>
  <si>
    <t>O</t>
  </si>
  <si>
    <t>X</t>
  </si>
  <si>
    <t>X = No Jumper</t>
  </si>
  <si>
    <t>O = Jumper Installed</t>
  </si>
  <si>
    <t># of 'X's</t>
  </si>
  <si>
    <t># of 'O's</t>
  </si>
  <si>
    <t>I0</t>
  </si>
  <si>
    <t>I1</t>
  </si>
  <si>
    <t>I7</t>
  </si>
  <si>
    <t>I6</t>
  </si>
  <si>
    <t>I5</t>
  </si>
  <si>
    <t>I4</t>
  </si>
  <si>
    <t>I3</t>
  </si>
  <si>
    <t>I2</t>
  </si>
  <si>
    <t>S0</t>
  </si>
  <si>
    <t>S1</t>
  </si>
  <si>
    <t>S7</t>
  </si>
  <si>
    <t>S6</t>
  </si>
  <si>
    <t>S5</t>
  </si>
  <si>
    <t>S4</t>
  </si>
  <si>
    <t>S3</t>
  </si>
  <si>
    <t>S2</t>
  </si>
  <si>
    <t>S8</t>
  </si>
  <si>
    <t>S9</t>
  </si>
  <si>
    <t>S11</t>
  </si>
  <si>
    <t>S10</t>
  </si>
  <si>
    <t>F0</t>
  </si>
  <si>
    <t>F1</t>
  </si>
  <si>
    <t>F2</t>
  </si>
  <si>
    <t>I8</t>
  </si>
  <si>
    <t>I9</t>
  </si>
  <si>
    <t>I11</t>
  </si>
  <si>
    <t>I10</t>
  </si>
  <si>
    <t>(I0 is MSB)</t>
  </si>
  <si>
    <t>Starting Address:</t>
  </si>
  <si>
    <t>Initial Address:</t>
  </si>
  <si>
    <t>(S0 is MSB)</t>
  </si>
  <si>
    <t>(F2 is MSB)</t>
  </si>
  <si>
    <t>Octal</t>
  </si>
  <si>
    <t>OP</t>
  </si>
  <si>
    <t>I</t>
  </si>
  <si>
    <t>Z</t>
  </si>
  <si>
    <t>AND</t>
  </si>
  <si>
    <t>TAD</t>
  </si>
  <si>
    <t>ISZ</t>
  </si>
  <si>
    <t>JMS</t>
  </si>
  <si>
    <t>JMP</t>
  </si>
  <si>
    <t>IOT</t>
  </si>
  <si>
    <t>OPR</t>
  </si>
  <si>
    <t>Device</t>
  </si>
  <si>
    <t xml:space="preserve">CLA </t>
  </si>
  <si>
    <t xml:space="preserve">CLL </t>
  </si>
  <si>
    <t xml:space="preserve">CMA </t>
  </si>
  <si>
    <t xml:space="preserve">CML </t>
  </si>
  <si>
    <t xml:space="preserve">IAC </t>
  </si>
  <si>
    <t xml:space="preserve">RAR </t>
  </si>
  <si>
    <t xml:space="preserve">RAL </t>
  </si>
  <si>
    <t xml:space="preserve">RTR </t>
  </si>
  <si>
    <t xml:space="preserve">RTL </t>
  </si>
  <si>
    <t>clear AC</t>
  </si>
  <si>
    <t>clear the L bit</t>
  </si>
  <si>
    <t>ones complement AC</t>
  </si>
  <si>
    <t>complement L bit</t>
  </si>
  <si>
    <t>increment AC</t>
  </si>
  <si>
    <t>skip on AC &lt; 0</t>
  </si>
  <si>
    <t>skip on AC = 0</t>
  </si>
  <si>
    <t>skip on L &lt;&gt; 0</t>
  </si>
  <si>
    <t>skip on AC &gt;= 0</t>
  </si>
  <si>
    <t>skip on AC &lt;&gt; 0</t>
  </si>
  <si>
    <t>skip on L = 0</t>
  </si>
  <si>
    <t>skip unconditionally</t>
  </si>
  <si>
    <t>or switches with AC</t>
  </si>
  <si>
    <t>halt</t>
  </si>
  <si>
    <t>and operand with AC</t>
  </si>
  <si>
    <t>increment operand and skip if result is zero</t>
  </si>
  <si>
    <t>deposit AC in memory and clear AC</t>
  </si>
  <si>
    <t>jump to subroutine</t>
  </si>
  <si>
    <t>jump</t>
  </si>
  <si>
    <t>input/output transfer</t>
  </si>
  <si>
    <t>microcoded operation</t>
  </si>
  <si>
    <t>Description</t>
  </si>
  <si>
    <t>OPR Group 1</t>
  </si>
  <si>
    <t>OPR Group 2</t>
  </si>
  <si>
    <t xml:space="preserve">SMA  </t>
  </si>
  <si>
    <t xml:space="preserve">SZA </t>
  </si>
  <si>
    <t xml:space="preserve">SNL </t>
  </si>
  <si>
    <t xml:space="preserve">SKP </t>
  </si>
  <si>
    <t xml:space="preserve">SPA </t>
  </si>
  <si>
    <t xml:space="preserve">SNA </t>
  </si>
  <si>
    <t xml:space="preserve">SZL </t>
  </si>
  <si>
    <t xml:space="preserve">OSR </t>
  </si>
  <si>
    <t xml:space="preserve">HLT </t>
  </si>
  <si>
    <t>rotate  AC &amp; Link right</t>
  </si>
  <si>
    <t>rotate  AC &amp; Link left</t>
  </si>
  <si>
    <t>rotate  AC &amp; Link right twice</t>
  </si>
  <si>
    <t>rotate  AC &amp; Link left twice</t>
  </si>
  <si>
    <t>CIA - Complement &amp; Increment AC</t>
  </si>
  <si>
    <t>Disassembly</t>
  </si>
  <si>
    <t>PDP-8E Instruction Set</t>
  </si>
  <si>
    <t>Interpretation:</t>
  </si>
  <si>
    <t>Instruction:</t>
  </si>
  <si>
    <t>IOT Operation</t>
  </si>
  <si>
    <t>KM8-E</t>
  </si>
  <si>
    <t>Device Description</t>
  </si>
  <si>
    <t>Memory Extension &amp; Timeshare</t>
  </si>
  <si>
    <t>GTF</t>
  </si>
  <si>
    <t>Get Flags</t>
  </si>
  <si>
    <t>RTF</t>
  </si>
  <si>
    <t>Restore Flags</t>
  </si>
  <si>
    <t>RDF</t>
  </si>
  <si>
    <t>Read Data Field</t>
  </si>
  <si>
    <t>RIF</t>
  </si>
  <si>
    <t>Read Instruction Field</t>
  </si>
  <si>
    <t>RIB</t>
  </si>
  <si>
    <t>Read Interrupt Buffer</t>
  </si>
  <si>
    <t>RMF</t>
  </si>
  <si>
    <t>Restore Memory Field</t>
  </si>
  <si>
    <t>CINT</t>
  </si>
  <si>
    <t>Clear User Interrupt</t>
  </si>
  <si>
    <t>Skip on User Interrupt</t>
  </si>
  <si>
    <t>SINT</t>
  </si>
  <si>
    <t>CUF</t>
  </si>
  <si>
    <t>Clear User Flag</t>
  </si>
  <si>
    <t>Set User Buffer Flip Flop, Block Interrupts</t>
  </si>
  <si>
    <t>MP8-E</t>
  </si>
  <si>
    <t>Memory Parity</t>
  </si>
  <si>
    <t>DPI</t>
  </si>
  <si>
    <t>Disable Memory Parity Interrupt</t>
  </si>
  <si>
    <t>Skip on No Memory Parity Error</t>
  </si>
  <si>
    <t>SMP</t>
  </si>
  <si>
    <t>EPI</t>
  </si>
  <si>
    <t>Enable Memory Parity Error Interrupt</t>
  </si>
  <si>
    <t>CMP</t>
  </si>
  <si>
    <t>Clear Memory Parity Error Flag</t>
  </si>
  <si>
    <t>SMP,CMP</t>
  </si>
  <si>
    <t>Skip on no Memory Parity Error &amp; Clear Memory Parity Error Flag</t>
  </si>
  <si>
    <t>CEP</t>
  </si>
  <si>
    <t>Check for Even Parity</t>
  </si>
  <si>
    <t>SPO</t>
  </si>
  <si>
    <t>Skip on Memory Parity Option</t>
  </si>
  <si>
    <t>DK8-EA</t>
  </si>
  <si>
    <t>Real-Time Clock (Line Frequency)</t>
  </si>
  <si>
    <t>CLEI</t>
  </si>
  <si>
    <t>Enable Interrupt</t>
  </si>
  <si>
    <t>CLDI</t>
  </si>
  <si>
    <t>Disable Clock Interrupt  (Octal error???)</t>
  </si>
  <si>
    <t>CLSK</t>
  </si>
  <si>
    <t>Skip on Clock Flag an Clear Flag</t>
  </si>
  <si>
    <t>DK8-EC</t>
  </si>
  <si>
    <t>Skip on Clock Interrupt</t>
  </si>
  <si>
    <t>CLAB</t>
  </si>
  <si>
    <t>AC to Clock Buffer</t>
  </si>
  <si>
    <t>CLZE</t>
  </si>
  <si>
    <t>Clear Clock Enable Register per AC</t>
  </si>
  <si>
    <t>CLDE</t>
  </si>
  <si>
    <t>Set Clock Enable Register per AC</t>
  </si>
  <si>
    <t>CLEN</t>
  </si>
  <si>
    <t>Load Clock Enable Register</t>
  </si>
  <si>
    <t>CLSA</t>
  </si>
  <si>
    <t>Clock Status to AC</t>
  </si>
  <si>
    <t>CLBA</t>
  </si>
  <si>
    <t>Clock Buffer to AC</t>
  </si>
  <si>
    <t>CLCA</t>
  </si>
  <si>
    <t>Clock Counter to AC</t>
  </si>
  <si>
    <t>KP8-E</t>
  </si>
  <si>
    <t>Power Fail Detect</t>
  </si>
  <si>
    <t>SPL</t>
  </si>
  <si>
    <t>Skip on Low Power</t>
  </si>
  <si>
    <t>LC8-E</t>
  </si>
  <si>
    <t>LA30 DECWriter Control</t>
  </si>
  <si>
    <t>KCF</t>
  </si>
  <si>
    <t>Clear Keyboard Flag</t>
  </si>
  <si>
    <t>KSF</t>
  </si>
  <si>
    <t>Skip on Keyboard Flag</t>
  </si>
  <si>
    <t>KRS</t>
  </si>
  <si>
    <t>Read Keyboard Buffer Static</t>
  </si>
  <si>
    <t>KIE</t>
  </si>
  <si>
    <t>Set/Clear Keyboard Interrupt Enable</t>
  </si>
  <si>
    <t>KRB</t>
  </si>
  <si>
    <t>Read Keyboard Buffer Dynamic</t>
  </si>
  <si>
    <t>TFL</t>
  </si>
  <si>
    <t>Set Printer Flag</t>
  </si>
  <si>
    <t>TSF</t>
  </si>
  <si>
    <t>Skip on Printer Flag</t>
  </si>
  <si>
    <t>TCF</t>
  </si>
  <si>
    <t>Clear Printer Flag</t>
  </si>
  <si>
    <t>TPC</t>
  </si>
  <si>
    <t>Load Printer Buffer and Print</t>
  </si>
  <si>
    <t>TSK</t>
  </si>
  <si>
    <t>Skip on Keyboard or Printer Interrupt</t>
  </si>
  <si>
    <t>TLS</t>
  </si>
  <si>
    <t>Load Printer Sequence</t>
  </si>
  <si>
    <t>PR8-E</t>
  </si>
  <si>
    <t>RPE</t>
  </si>
  <si>
    <t>RSF</t>
  </si>
  <si>
    <t>Skip on Reader Flag</t>
  </si>
  <si>
    <t>RRB</t>
  </si>
  <si>
    <t>Read Reader Buffer</t>
  </si>
  <si>
    <t>RFC</t>
  </si>
  <si>
    <t>Reader Fetch Character</t>
  </si>
  <si>
    <t>RRB, RFC</t>
  </si>
  <si>
    <t>Read Reader Buffer &amp; Fetch New Character</t>
  </si>
  <si>
    <t>PCE</t>
  </si>
  <si>
    <t>Paper Tape Reader</t>
  </si>
  <si>
    <t>PP8-E</t>
  </si>
  <si>
    <t>Paper Tape Punch</t>
  </si>
  <si>
    <t>Clear Reader/Punch Interrupt Enable</t>
  </si>
  <si>
    <t>Set Reader/Punch Interrupt Enable</t>
  </si>
  <si>
    <t>PSF</t>
  </si>
  <si>
    <t>Skip on Punch Flag</t>
  </si>
  <si>
    <t>PCF</t>
  </si>
  <si>
    <t>Clear Punch Flag</t>
  </si>
  <si>
    <t>PPC</t>
  </si>
  <si>
    <t>Load Punch Buffer and Punch Character</t>
  </si>
  <si>
    <t>PLS</t>
  </si>
  <si>
    <t>Load Punch Sequence</t>
  </si>
  <si>
    <t>VC8-E</t>
  </si>
  <si>
    <t>Point Plot Display Control</t>
  </si>
  <si>
    <t>Clear All Logic</t>
  </si>
  <si>
    <t>DILC</t>
  </si>
  <si>
    <t>DICD</t>
  </si>
  <si>
    <t>Clear Done Flag</t>
  </si>
  <si>
    <t>DISD</t>
  </si>
  <si>
    <t>Skip on Done Flag</t>
  </si>
  <si>
    <t>DILX</t>
  </si>
  <si>
    <t>Load X Register</t>
  </si>
  <si>
    <t>DILY</t>
  </si>
  <si>
    <t>Load Y Register</t>
  </si>
  <si>
    <t>DILE</t>
  </si>
  <si>
    <t>Load Enable</t>
  </si>
  <si>
    <t>DIRE</t>
  </si>
  <si>
    <t>Read Enable/Status Register</t>
  </si>
  <si>
    <t>XY8/E</t>
  </si>
  <si>
    <t>Incremental Plotter Control</t>
  </si>
  <si>
    <t>PLCE</t>
  </si>
  <si>
    <t>Clear Interrupt Enable</t>
  </si>
  <si>
    <t>PLSF</t>
  </si>
  <si>
    <t>Skip on Plotter Flag</t>
  </si>
  <si>
    <t>PLCF</t>
  </si>
  <si>
    <t>Clear Plotter Flag</t>
  </si>
  <si>
    <t>PLPU</t>
  </si>
  <si>
    <t>Pen Up</t>
  </si>
  <si>
    <t>PLLR</t>
  </si>
  <si>
    <t>Load Direction Flag, Set Flag</t>
  </si>
  <si>
    <t>PLPD</t>
  </si>
  <si>
    <t>Pen Down</t>
  </si>
  <si>
    <t>PLCF, PLLR</t>
  </si>
  <si>
    <t>Clear Plotter Flag, Load Direction Flag, Set Flag</t>
  </si>
  <si>
    <t>PLSE</t>
  </si>
  <si>
    <t>Set Interrupt Enable Flag</t>
  </si>
  <si>
    <t>LE-8</t>
  </si>
  <si>
    <t>Line Printer</t>
  </si>
  <si>
    <t>PSKF</t>
  </si>
  <si>
    <t>Skip on Character Flag</t>
  </si>
  <si>
    <t>PCLF</t>
  </si>
  <si>
    <t>Clear Character Flag</t>
  </si>
  <si>
    <t>PSKE</t>
  </si>
  <si>
    <t>Skip on Error</t>
  </si>
  <si>
    <t>PSTB</t>
  </si>
  <si>
    <t>Load Printer Buffer, Print on Full Buffer or Control Character</t>
  </si>
  <si>
    <t>PSIE</t>
  </si>
  <si>
    <t>Set Program Interrupt Enable Flag</t>
  </si>
  <si>
    <t>PCLF, PSTB</t>
  </si>
  <si>
    <t>Clear Character Flag, Load Printer Buffer and Print</t>
  </si>
  <si>
    <t>PCIE</t>
  </si>
  <si>
    <t>Clear Program Interrupt Enable Flag</t>
  </si>
  <si>
    <t>DP8-EA/EB</t>
  </si>
  <si>
    <t>Synchronous Modem Interface</t>
  </si>
  <si>
    <t>SGTT</t>
  </si>
  <si>
    <t>Transmit Go</t>
  </si>
  <si>
    <t>SGRR</t>
  </si>
  <si>
    <t>Receuve Go</t>
  </si>
  <si>
    <t>SSCD</t>
  </si>
  <si>
    <t>Skip if Character Detected</t>
  </si>
  <si>
    <t>SCSD</t>
  </si>
  <si>
    <t>Clear Sync Detect</t>
  </si>
  <si>
    <t>SSRO</t>
  </si>
  <si>
    <t>Skip If Receive Word Count Overflow</t>
  </si>
  <si>
    <t>SSTO</t>
  </si>
  <si>
    <t>Skip of Transmit Word Count Overflow</t>
  </si>
  <si>
    <t>SCSI</t>
  </si>
  <si>
    <t>Clear Synchrnous Interface</t>
  </si>
  <si>
    <t>SRTA</t>
  </si>
  <si>
    <t>Read Transfer Address Register</t>
  </si>
  <si>
    <t>SLCC</t>
  </si>
  <si>
    <t>Load Control</t>
  </si>
  <si>
    <t>SSRG</t>
  </si>
  <si>
    <t>Skip if Ring Flag</t>
  </si>
  <si>
    <t>SSCA</t>
  </si>
  <si>
    <t>Skip if Carrier/AGC Flag</t>
  </si>
  <si>
    <t>SRS2</t>
  </si>
  <si>
    <t>Read Status 2</t>
  </si>
  <si>
    <t>SRS1</t>
  </si>
  <si>
    <t>Read Status 1</t>
  </si>
  <si>
    <t>SLFL</t>
  </si>
  <si>
    <t>Load Field</t>
  </si>
  <si>
    <t>SSBE</t>
  </si>
  <si>
    <t>Skip on Bus Error</t>
  </si>
  <si>
    <t>SRCD</t>
  </si>
  <si>
    <t>Read Character Detected</t>
  </si>
  <si>
    <t>DP8-EP</t>
  </si>
  <si>
    <t>Redundancy Check Option</t>
  </si>
  <si>
    <t>RCCV</t>
  </si>
  <si>
    <t>Compute VRC</t>
  </si>
  <si>
    <t>RCTV</t>
  </si>
  <si>
    <t>Test VRC and Skip</t>
  </si>
  <si>
    <t>RCGB</t>
  </si>
  <si>
    <t>Generate BCC</t>
  </si>
  <si>
    <t>RLRL</t>
  </si>
  <si>
    <t>Read BCC Low</t>
  </si>
  <si>
    <t>RCRH</t>
  </si>
  <si>
    <t>Read BCC High</t>
  </si>
  <si>
    <t>RCCB</t>
  </si>
  <si>
    <t>Clear BCC Accumulation</t>
  </si>
  <si>
    <t>RCLC</t>
  </si>
  <si>
    <t>RCTC</t>
  </si>
  <si>
    <t>Maintenance Test Clock</t>
  </si>
  <si>
    <t>KL8-E</t>
  </si>
  <si>
    <t>Asynchronous Data Control</t>
  </si>
  <si>
    <t>Enable clock Interrupt</t>
  </si>
  <si>
    <t>KCC</t>
  </si>
  <si>
    <t>Set Teleprinter Flag</t>
  </si>
  <si>
    <t>Skip on Teleprinter Flag</t>
  </si>
  <si>
    <t>Clear Teleprinter Flag</t>
  </si>
  <si>
    <t>Load Teleprinter and Print</t>
  </si>
  <si>
    <t>Skip on Keyboard or Printer Flag</t>
  </si>
  <si>
    <t>Load Teleprinter Sequence</t>
  </si>
  <si>
    <t>CR8-E</t>
  </si>
  <si>
    <t>Card Reader and Control</t>
  </si>
  <si>
    <t>RCSF</t>
  </si>
  <si>
    <t>Skip on Rdata Ready</t>
  </si>
  <si>
    <t>RCRA</t>
  </si>
  <si>
    <t>Read Alphanumeric</t>
  </si>
  <si>
    <t>RCRB</t>
  </si>
  <si>
    <t>Read Binary</t>
  </si>
  <si>
    <t>RCNO</t>
  </si>
  <si>
    <t>Read Conditions out to Card Reader</t>
  </si>
  <si>
    <t>RCRC</t>
  </si>
  <si>
    <t>Read Compressed</t>
  </si>
  <si>
    <t>RCNI</t>
  </si>
  <si>
    <t>Read Conditions in from Card Reader</t>
  </si>
  <si>
    <t>RCSD</t>
  </si>
  <si>
    <t>Skip on Card Done Flag</t>
  </si>
  <si>
    <t>RCSE</t>
  </si>
  <si>
    <t>Select Card Reader and Skip if Ready</t>
  </si>
  <si>
    <t>RCRD</t>
  </si>
  <si>
    <t>Clear Card Done Flag</t>
  </si>
  <si>
    <t>RCSI</t>
  </si>
  <si>
    <t>Skip if Interrupt Being Generated</t>
  </si>
  <si>
    <t>RCTF</t>
  </si>
  <si>
    <t>Clear Transition Flags</t>
  </si>
  <si>
    <t>TD8-E</t>
  </si>
  <si>
    <t>DECtape Option</t>
  </si>
  <si>
    <t>LWCR</t>
  </si>
  <si>
    <t>Load Word Count Register</t>
  </si>
  <si>
    <t>CWCR</t>
  </si>
  <si>
    <t>Clear Word Count Register</t>
  </si>
  <si>
    <t>LCAR</t>
  </si>
  <si>
    <t>Load Current Address Register</t>
  </si>
  <si>
    <t>CCAR</t>
  </si>
  <si>
    <t>Clear Current Address</t>
  </si>
  <si>
    <t>LCMR</t>
  </si>
  <si>
    <t>Load Command Register</t>
  </si>
  <si>
    <t>LFGR</t>
  </si>
  <si>
    <t>Load Function Register</t>
  </si>
  <si>
    <t>LDBR</t>
  </si>
  <si>
    <t>Load Data Buffer Register</t>
  </si>
  <si>
    <t>RWCR</t>
  </si>
  <si>
    <t>Read Word Count Register</t>
  </si>
  <si>
    <t>CLT</t>
  </si>
  <si>
    <t>Clear Transport</t>
  </si>
  <si>
    <t>RCAR</t>
  </si>
  <si>
    <t>Read Current Address Register</t>
  </si>
  <si>
    <t>RMSR</t>
  </si>
  <si>
    <t>Read Main Status Register</t>
  </si>
  <si>
    <t>RCMR</t>
  </si>
  <si>
    <t>Read Command Register</t>
  </si>
  <si>
    <t>RFSR</t>
  </si>
  <si>
    <t>Read Function Register &amp; Status</t>
  </si>
  <si>
    <t>RDBR</t>
  </si>
  <si>
    <t>Read Data Buffer</t>
  </si>
  <si>
    <t>SKEF</t>
  </si>
  <si>
    <t>Skip if Error Flag</t>
  </si>
  <si>
    <t>SKCB</t>
  </si>
  <si>
    <t>Skip if Control not Busy</t>
  </si>
  <si>
    <t>SKJD</t>
  </si>
  <si>
    <t>Skip When Job Done</t>
  </si>
  <si>
    <t>SKTR</t>
  </si>
  <si>
    <t>Skip When Tape Ready</t>
  </si>
  <si>
    <t>CLF</t>
  </si>
  <si>
    <t>Clear Controller and Master</t>
  </si>
  <si>
    <t>Reserved for Maintenance</t>
  </si>
  <si>
    <t>AD8-EA</t>
  </si>
  <si>
    <t>Analog-to-Digital Converter</t>
  </si>
  <si>
    <t>ADCL</t>
  </si>
  <si>
    <t>Clear All</t>
  </si>
  <si>
    <t>ADLM</t>
  </si>
  <si>
    <t>Load Multiplexer</t>
  </si>
  <si>
    <t>ADST</t>
  </si>
  <si>
    <t>Start Conversion</t>
  </si>
  <si>
    <t>ADRB</t>
  </si>
  <si>
    <t>Read A/D Buffer</t>
  </si>
  <si>
    <t>ADSK</t>
  </si>
  <si>
    <t>Skip on A/D Done</t>
  </si>
  <si>
    <t>ADSE</t>
  </si>
  <si>
    <t>ADLE</t>
  </si>
  <si>
    <t>Load Enable Register</t>
  </si>
  <si>
    <t>ADRS</t>
  </si>
  <si>
    <t>Read Status Register</t>
  </si>
  <si>
    <t>DR8-EA</t>
  </si>
  <si>
    <t>12-Channel Buffered Digital I/O</t>
  </si>
  <si>
    <t>DBDI</t>
  </si>
  <si>
    <t>Disable Interrupt</t>
  </si>
  <si>
    <t>DBEI</t>
  </si>
  <si>
    <t>Enable Interrupts</t>
  </si>
  <si>
    <t>DBSK</t>
  </si>
  <si>
    <t>Skip on Flag</t>
  </si>
  <si>
    <t>DBCI</t>
  </si>
  <si>
    <t>Clear Selective Input Register</t>
  </si>
  <si>
    <t>DBRI</t>
  </si>
  <si>
    <t>Transfer Input to the AC</t>
  </si>
  <si>
    <t>DBCO</t>
  </si>
  <si>
    <t>Clear Selective Output Register</t>
  </si>
  <si>
    <t>DBSO</t>
  </si>
  <si>
    <t>Set Selective Output Register</t>
  </si>
  <si>
    <t>DBRO</t>
  </si>
  <si>
    <t>Transfer AC to Output</t>
  </si>
  <si>
    <t>DB8-E</t>
  </si>
  <si>
    <t>Interprocessor Buffer</t>
  </si>
  <si>
    <t>DBRF</t>
  </si>
  <si>
    <t>Skip on Recveive Flag</t>
  </si>
  <si>
    <t>DBRD</t>
  </si>
  <si>
    <t>Read Incoming Data</t>
  </si>
  <si>
    <t>DBTF</t>
  </si>
  <si>
    <t>Skip on Transmit Flag</t>
  </si>
  <si>
    <t>DBDT</t>
  </si>
  <si>
    <t>Transmit Data</t>
  </si>
  <si>
    <t>BB08-P</t>
  </si>
  <si>
    <t>General Purpose Interface Unit</t>
  </si>
  <si>
    <t>GTSF</t>
  </si>
  <si>
    <t>GCTF</t>
  </si>
  <si>
    <t>GRSF</t>
  </si>
  <si>
    <t>GCRF</t>
  </si>
  <si>
    <t>Clear Transmit Flag</t>
  </si>
  <si>
    <t>(User Designated)</t>
  </si>
  <si>
    <t>Skip on Receive Flag</t>
  </si>
  <si>
    <t>Clear Receive Flag</t>
  </si>
  <si>
    <t>GRDB</t>
  </si>
  <si>
    <t>Read Device Buffer</t>
  </si>
  <si>
    <t>RK01 Disk Control</t>
  </si>
  <si>
    <t>RK08-P</t>
  </si>
  <si>
    <t>DLDA</t>
  </si>
  <si>
    <t>DLDC</t>
  </si>
  <si>
    <t>Load Disk Address (Maintenance only)</t>
  </si>
  <si>
    <t>DLDR</t>
  </si>
  <si>
    <t>DRDA</t>
  </si>
  <si>
    <t>Load Disk Address and Read</t>
  </si>
  <si>
    <t>Read Disk Address</t>
  </si>
  <si>
    <t>DLDW</t>
  </si>
  <si>
    <t>DRDC</t>
  </si>
  <si>
    <t>DCHP</t>
  </si>
  <si>
    <t>Load Disk Address and Write</t>
  </si>
  <si>
    <t>Read Disk Command Register</t>
  </si>
  <si>
    <t>Load Disk Address and Check Parity</t>
  </si>
  <si>
    <t>DRDS</t>
  </si>
  <si>
    <t>Read Disk Status Register</t>
  </si>
  <si>
    <t>DCLS</t>
  </si>
  <si>
    <t>DMNT</t>
  </si>
  <si>
    <t>Clear Status Register</t>
  </si>
  <si>
    <t>Load Maintenance Register</t>
  </si>
  <si>
    <t>DSKD</t>
  </si>
  <si>
    <t>DSKE</t>
  </si>
  <si>
    <t>DCLA</t>
  </si>
  <si>
    <t>DRWC</t>
  </si>
  <si>
    <t>Skip on Disk Done</t>
  </si>
  <si>
    <t>Skip on Disk Error</t>
  </si>
  <si>
    <t>DLWC</t>
  </si>
  <si>
    <t>DLCA</t>
  </si>
  <si>
    <t>DRCA</t>
  </si>
  <si>
    <t>DF32-D</t>
  </si>
  <si>
    <t>DEC Disk File &amp; Control</t>
  </si>
  <si>
    <t>DCMA</t>
  </si>
  <si>
    <t>DMAR</t>
  </si>
  <si>
    <t>DMAW</t>
  </si>
  <si>
    <t>Clear Disk Address Register</t>
  </si>
  <si>
    <t>Load Disk Memory Address Register and Read</t>
  </si>
  <si>
    <t>Load Disk Memory Address Register and Write</t>
  </si>
  <si>
    <t>DCEA</t>
  </si>
  <si>
    <t>DSAC</t>
  </si>
  <si>
    <t>DEAL</t>
  </si>
  <si>
    <t>DEAC</t>
  </si>
  <si>
    <t>Clear Disk Extended Address Register</t>
  </si>
  <si>
    <t>Skip on Address Confirmed Flag</t>
  </si>
  <si>
    <t>Load Disk Extended Address</t>
  </si>
  <si>
    <t>Read Disk Extended Address Register</t>
  </si>
  <si>
    <t>DFSE</t>
  </si>
  <si>
    <t>DFSC</t>
  </si>
  <si>
    <t>DMAC</t>
  </si>
  <si>
    <t>Skip on Zero Error Flag</t>
  </si>
  <si>
    <t>Skip on Data Completion Flag</t>
  </si>
  <si>
    <t>Read Disk Memory Address Register</t>
  </si>
  <si>
    <t>RF08</t>
  </si>
  <si>
    <t>Disk File and Control</t>
  </si>
  <si>
    <t>DCIM</t>
  </si>
  <si>
    <t>DIML</t>
  </si>
  <si>
    <t>Clear Disk Interrupt Enable and Core Memory Adress Ext. Reg.</t>
  </si>
  <si>
    <t>Load Interrupt Enable and Memory Address Ext. Register</t>
  </si>
  <si>
    <t>DIMA</t>
  </si>
  <si>
    <t>Load Interrupt and Extended Memory Address</t>
  </si>
  <si>
    <t>DISK</t>
  </si>
  <si>
    <t>DCXA</t>
  </si>
  <si>
    <t>Skip on Error or Completion Flag</t>
  </si>
  <si>
    <t>Clear High Order Address Register</t>
  </si>
  <si>
    <t>DXAL</t>
  </si>
  <si>
    <t>Clear and Load High Order Address Register</t>
  </si>
  <si>
    <t>DXAC</t>
  </si>
  <si>
    <t>Clear AC and Load DAR into AC</t>
  </si>
  <si>
    <t>DMMT</t>
  </si>
  <si>
    <t>Initiate Maintenance Register</t>
  </si>
  <si>
    <t>TC08-P</t>
  </si>
  <si>
    <t>DECtape</t>
  </si>
  <si>
    <t>DTRA</t>
  </si>
  <si>
    <t>DTCA</t>
  </si>
  <si>
    <t>Clear Status Register A</t>
  </si>
  <si>
    <t>DTLA</t>
  </si>
  <si>
    <t>DTXA</t>
  </si>
  <si>
    <t>Clear and Load Status Register A</t>
  </si>
  <si>
    <t>Load Status Register A</t>
  </si>
  <si>
    <t>DTSF</t>
  </si>
  <si>
    <t>DTRB</t>
  </si>
  <si>
    <t>DTXB</t>
  </si>
  <si>
    <t>Read Status Register B</t>
  </si>
  <si>
    <t>Load Status Register B</t>
  </si>
  <si>
    <t>Read Status Register A</t>
  </si>
  <si>
    <t>TC58</t>
  </si>
  <si>
    <t>DECmagtape System</t>
  </si>
  <si>
    <t>MTSF</t>
  </si>
  <si>
    <t>MTCR</t>
  </si>
  <si>
    <t>MTTR</t>
  </si>
  <si>
    <t>Skip on Error Flag or Magnetic Tape Flag</t>
  </si>
  <si>
    <t>Skip on Tape Control Ready</t>
  </si>
  <si>
    <t>Skip on Tape Transport Ready</t>
  </si>
  <si>
    <t>MTRC</t>
  </si>
  <si>
    <t>MTCM</t>
  </si>
  <si>
    <t>MTAF</t>
  </si>
  <si>
    <t>Clear Registes, Error Flag and Amgnetic Tape Flag</t>
  </si>
  <si>
    <t>Inclusive OR Contents of Command Register</t>
  </si>
  <si>
    <t>Inclusive OR Contents of AC</t>
  </si>
  <si>
    <t>MTLC</t>
  </si>
  <si>
    <t>(none)</t>
  </si>
  <si>
    <t>MTRS</t>
  </si>
  <si>
    <t>Inclusive OR Contents of Status Register</t>
  </si>
  <si>
    <t>MTGO</t>
  </si>
  <si>
    <t>Mag Tape "GO"</t>
  </si>
  <si>
    <t>Clear the AC</t>
  </si>
  <si>
    <t>AD01-A</t>
  </si>
  <si>
    <t>10 (or 11)-Bit A/D Converter</t>
  </si>
  <si>
    <t>ADSF</t>
  </si>
  <si>
    <t>ADCV</t>
  </si>
  <si>
    <t>ADSC</t>
  </si>
  <si>
    <t>Skip on A/D Done Flag</t>
  </si>
  <si>
    <t>Convert Analog Input</t>
  </si>
  <si>
    <t>Select Multiplexer Channel and Gain</t>
  </si>
  <si>
    <t>ADRC</t>
  </si>
  <si>
    <t>ADSR</t>
  </si>
  <si>
    <t>Read A/D Buffer, Clera Flag and Start Conversion</t>
  </si>
  <si>
    <t>Select Channel and Gain and Read A/D Buffer</t>
  </si>
  <si>
    <t>11 (or 11)-Bit A/D Converter</t>
  </si>
  <si>
    <t>12 (or 11)-Bit A/D Converter</t>
  </si>
  <si>
    <t>13 (or 11)-Bit A/D Converter</t>
  </si>
  <si>
    <t>14 (or 11)-Bit A/D Converter</t>
  </si>
  <si>
    <t>15 (or 11)-Bit A/D Converter</t>
  </si>
  <si>
    <t>AFC8</t>
  </si>
  <si>
    <t>Low-Level Analog Input Subsystem</t>
  </si>
  <si>
    <t>ADSG</t>
  </si>
  <si>
    <t>ADSA</t>
  </si>
  <si>
    <t>Set Multiplexer Gain</t>
  </si>
  <si>
    <t>Set Multiplexer Address</t>
  </si>
  <si>
    <t>Skip on A/D Flag</t>
  </si>
  <si>
    <t>Read A/D Converter Buffer</t>
  </si>
  <si>
    <t>AF04A</t>
  </si>
  <si>
    <t>Guarded Scanning Integrating DVM</t>
  </si>
  <si>
    <t>VSEL</t>
  </si>
  <si>
    <t>VCNV</t>
  </si>
  <si>
    <t>Select Range and Gate</t>
  </si>
  <si>
    <t>Select Channel and Convert</t>
  </si>
  <si>
    <t>VINX</t>
  </si>
  <si>
    <t>VSDR</t>
  </si>
  <si>
    <t>VRD</t>
  </si>
  <si>
    <t>Index Channel and Convert</t>
  </si>
  <si>
    <t>Skip on Data Ready</t>
  </si>
  <si>
    <t>Read Data and Clear Flag</t>
  </si>
  <si>
    <t>VBA</t>
  </si>
  <si>
    <t>VSCC</t>
  </si>
  <si>
    <t>Byte Advance</t>
  </si>
  <si>
    <t>Sample Current Channel</t>
  </si>
  <si>
    <t>AA50-A</t>
  </si>
  <si>
    <t>Digital-to-Analog Conversion System</t>
  </si>
  <si>
    <t>DACS0</t>
  </si>
  <si>
    <t>DACS1</t>
  </si>
  <si>
    <t>DACS2</t>
  </si>
  <si>
    <t>DACS3</t>
  </si>
  <si>
    <t>DACS4</t>
  </si>
  <si>
    <t>DACS5</t>
  </si>
  <si>
    <t>Select DAC 0</t>
  </si>
  <si>
    <t>Select DAC 1</t>
  </si>
  <si>
    <t>Select DAC 2</t>
  </si>
  <si>
    <t>Select DAC 3</t>
  </si>
  <si>
    <t>Select DAC 4</t>
  </si>
  <si>
    <t>Select DAC 5</t>
  </si>
  <si>
    <t>AA05-A</t>
  </si>
  <si>
    <t>Digital-to-Analog Converter &amp; Control</t>
  </si>
  <si>
    <t>DACL</t>
  </si>
  <si>
    <t>DALD</t>
  </si>
  <si>
    <t>DALI</t>
  </si>
  <si>
    <t>DAUP</t>
  </si>
  <si>
    <t>Clear DAC Address</t>
  </si>
  <si>
    <t>Load DAC Address</t>
  </si>
  <si>
    <t>Update All Channels</t>
  </si>
  <si>
    <t>Load DAC Input Register (6552??)</t>
  </si>
  <si>
    <t>UDC</t>
  </si>
  <si>
    <t>Universal Digital Control</t>
  </si>
  <si>
    <t>UDSS</t>
  </si>
  <si>
    <t>UDSC</t>
  </si>
  <si>
    <t>UDRA</t>
  </si>
  <si>
    <t>UDLS</t>
  </si>
  <si>
    <t>Skip on Scan Not Busy</t>
  </si>
  <si>
    <t>Start Interrupt Scan</t>
  </si>
  <si>
    <t>Read Address and Generic Type</t>
  </si>
  <si>
    <t>Load Previous Status</t>
  </si>
  <si>
    <t>UDSF</t>
  </si>
  <si>
    <t>UDLA</t>
  </si>
  <si>
    <t>UDEI</t>
  </si>
  <si>
    <t>UDDI</t>
  </si>
  <si>
    <t>UDRD</t>
  </si>
  <si>
    <t>UDLD</t>
  </si>
  <si>
    <t>Skip on UDC Flag and Clear Flag</t>
  </si>
  <si>
    <t>Load Address</t>
  </si>
  <si>
    <t>Enable UDC Interrupt Flasg</t>
  </si>
  <si>
    <t>Disable UDC Interrupt Flag</t>
  </si>
  <si>
    <t>Clear AC and Read Data</t>
  </si>
  <si>
    <t>Load Data and Clear AC</t>
  </si>
  <si>
    <t>VW01</t>
  </si>
  <si>
    <t>Writing Tablet</t>
  </si>
  <si>
    <t>WTSC</t>
  </si>
  <si>
    <t>WTCD</t>
  </si>
  <si>
    <t>WTRX</t>
  </si>
  <si>
    <t>WTRY</t>
  </si>
  <si>
    <t>Set Tablet Controls</t>
  </si>
  <si>
    <t>Clear Data Ready Flag</t>
  </si>
  <si>
    <t>Read X</t>
  </si>
  <si>
    <t>Read Y</t>
  </si>
  <si>
    <t>WTRS</t>
  </si>
  <si>
    <t>WTCP</t>
  </si>
  <si>
    <t>WTSK</t>
  </si>
  <si>
    <t>Read Status</t>
  </si>
  <si>
    <t>Clear Pen Data Flag</t>
  </si>
  <si>
    <t>Writing Tablet Skip</t>
  </si>
  <si>
    <t>WTSE</t>
  </si>
  <si>
    <t>WTMN</t>
  </si>
  <si>
    <t>Select Tablet</t>
  </si>
  <si>
    <t>Clear Set XY</t>
  </si>
  <si>
    <t>DC02-F</t>
  </si>
  <si>
    <t>8-Channel Multiple TTY Control</t>
  </si>
  <si>
    <t>MTPF</t>
  </si>
  <si>
    <t>MINT</t>
  </si>
  <si>
    <t>MTON</t>
  </si>
  <si>
    <t>MTKF</t>
  </si>
  <si>
    <t>MINS</t>
  </si>
  <si>
    <t>MKSF</t>
  </si>
  <si>
    <t>MKCC</t>
  </si>
  <si>
    <t>Read Transmitter Flag</t>
  </si>
  <si>
    <t>Set Interrupt Flip-Flop</t>
  </si>
  <si>
    <t>Select Specified Station</t>
  </si>
  <si>
    <t>Read Receiver Flag Status</t>
  </si>
  <si>
    <t>Skip on Interrupt Request</t>
  </si>
  <si>
    <t>Read Station Status</t>
  </si>
  <si>
    <t>MKRS</t>
  </si>
  <si>
    <t>MKRS &amp; MKCC</t>
  </si>
  <si>
    <t>MTCF</t>
  </si>
  <si>
    <t>MTPC</t>
  </si>
  <si>
    <t>MTCF &amp; MTPC</t>
  </si>
  <si>
    <t>Receive Operation</t>
  </si>
  <si>
    <t>Combined MKRS &amp; MKCC</t>
  </si>
  <si>
    <t>Skip on Transmitter Flag</t>
  </si>
  <si>
    <t>Clear Transmitter Flag</t>
  </si>
  <si>
    <t>Transmit Operation</t>
  </si>
  <si>
    <t>Combined MTCF &amp; MTPC</t>
  </si>
  <si>
    <t>FPP-12</t>
  </si>
  <si>
    <t>Floating Point Processor</t>
  </si>
  <si>
    <t>FPINT</t>
  </si>
  <si>
    <t>FPHLT</t>
  </si>
  <si>
    <t>FPCOM</t>
  </si>
  <si>
    <t>FPICL</t>
  </si>
  <si>
    <t>FPST</t>
  </si>
  <si>
    <t>FPRST</t>
  </si>
  <si>
    <t>FPIST</t>
  </si>
  <si>
    <t>Skip on FPP Interrupt Request Flag</t>
  </si>
  <si>
    <t>Halt FPP after current Instruction</t>
  </si>
  <si>
    <t>If FPP not running, copy AC to Command Register</t>
  </si>
  <si>
    <t>Clear FPP Interrupt Request Flag</t>
  </si>
  <si>
    <t>Skip and copy AC to Active Param Table if not running</t>
  </si>
  <si>
    <t>Read FPP Status Register</t>
  </si>
  <si>
    <t>Skip on FPP Interrupt Rewuest Flag, and Clear Flag</t>
  </si>
  <si>
    <t>OP Codes:</t>
  </si>
  <si>
    <t>OPR Group 1:</t>
  </si>
  <si>
    <t>OPR Group 2:</t>
  </si>
  <si>
    <t>RX8E</t>
  </si>
  <si>
    <t>RX01 Floppy Disk Subsystem</t>
  </si>
  <si>
    <t>No Operation</t>
  </si>
  <si>
    <t>LCD</t>
  </si>
  <si>
    <t>XDR</t>
  </si>
  <si>
    <t>STR</t>
  </si>
  <si>
    <t>SER</t>
  </si>
  <si>
    <t>SDN</t>
  </si>
  <si>
    <t>INTR</t>
  </si>
  <si>
    <t>INIT</t>
  </si>
  <si>
    <t>Load Command, Clear AC</t>
  </si>
  <si>
    <t>Transfer Data Register</t>
  </si>
  <si>
    <t>Skip on Transfer Request Flag, Clear Flag</t>
  </si>
  <si>
    <t>Skip on Error Flag, Clear Flag</t>
  </si>
  <si>
    <t>Enable or Disable Disk Interrupts</t>
  </si>
  <si>
    <t>Initialize Controller and Interface</t>
  </si>
  <si>
    <t>RX02 Floppy Disk Subsystem</t>
  </si>
  <si>
    <t>RX28</t>
  </si>
  <si>
    <t>Skip on Done Flag, Clear Flag</t>
  </si>
  <si>
    <t>add operand to AC (a 13 bit value)</t>
  </si>
  <si>
    <t>Memory Field:</t>
  </si>
  <si>
    <t>DCA</t>
  </si>
  <si>
    <t>AC := 0001</t>
  </si>
  <si>
    <t>M847E Word</t>
  </si>
  <si>
    <t>Core Address</t>
  </si>
  <si>
    <t>Instruction Octal</t>
  </si>
  <si>
    <t>OP Code</t>
  </si>
  <si>
    <t>Target Address</t>
  </si>
  <si>
    <t>IOT Device</t>
  </si>
  <si>
    <t>Device OP</t>
  </si>
  <si>
    <t>ION</t>
  </si>
  <si>
    <t>IOF</t>
  </si>
  <si>
    <t>Interrupts enabled</t>
  </si>
  <si>
    <t>Interrupts disabled</t>
  </si>
  <si>
    <t>Label</t>
  </si>
  <si>
    <t>Handmade Label</t>
  </si>
  <si>
    <t>Automatic Label</t>
  </si>
  <si>
    <t>Supported IOT Devices</t>
  </si>
  <si>
    <t>Option</t>
  </si>
  <si>
    <t>Function</t>
  </si>
  <si>
    <t>Real-Time Clock (Crystal)</t>
  </si>
  <si>
    <t>Device:</t>
  </si>
  <si>
    <t>Code</t>
  </si>
  <si>
    <t>Opcode</t>
  </si>
  <si>
    <t>Unique Name</t>
  </si>
  <si>
    <t>IOT Comment</t>
  </si>
  <si>
    <t>Supported Options</t>
  </si>
  <si>
    <t>Specify Installed Options</t>
  </si>
  <si>
    <t>Adress</t>
  </si>
  <si>
    <t>Data</t>
  </si>
  <si>
    <t>Command Description (Comment)</t>
  </si>
  <si>
    <t>Change to Data Field 0</t>
  </si>
  <si>
    <t>CDF 0</t>
  </si>
  <si>
    <t>CIF 0</t>
  </si>
  <si>
    <t>CDF 0 ,CIF 0</t>
  </si>
  <si>
    <t>Change to Instruction Field 0</t>
  </si>
  <si>
    <t>Change to Data and Instruction Field 0</t>
  </si>
  <si>
    <t>CDF 1</t>
  </si>
  <si>
    <t>CIF 1</t>
  </si>
  <si>
    <t>CDF 1,CIF 1</t>
  </si>
  <si>
    <t>Change to Data Field 1</t>
  </si>
  <si>
    <t>Change to Instruction Field 1</t>
  </si>
  <si>
    <t>Change to Data and Instruction Field 1</t>
  </si>
  <si>
    <t>CDF 2</t>
  </si>
  <si>
    <t>CIF 2</t>
  </si>
  <si>
    <t>CDF 2,CIF 2</t>
  </si>
  <si>
    <t>Change to Data Field 2</t>
  </si>
  <si>
    <t>Change to Instruction Field 2</t>
  </si>
  <si>
    <t>Change to Data and Instruction Field 2</t>
  </si>
  <si>
    <t>CDF 3</t>
  </si>
  <si>
    <t>Change to Data Field 3</t>
  </si>
  <si>
    <t>CIF 3</t>
  </si>
  <si>
    <t>Change to Instruction Field 3</t>
  </si>
  <si>
    <t>CDF 3 ,CIF 3</t>
  </si>
  <si>
    <t>Change to Data and Instruction Field 3</t>
  </si>
  <si>
    <t>CDF 4</t>
  </si>
  <si>
    <t>Change to Data Field 4</t>
  </si>
  <si>
    <t>CIF 4</t>
  </si>
  <si>
    <t>Change to Instruction Field 4</t>
  </si>
  <si>
    <t>CDF 4,CIF 4</t>
  </si>
  <si>
    <t>Change to Data and Instruction Field 4</t>
  </si>
  <si>
    <t>CDF 5</t>
  </si>
  <si>
    <t>Change to Data Field 5</t>
  </si>
  <si>
    <t>CIF 5</t>
  </si>
  <si>
    <t>Change to Instruction Field 5</t>
  </si>
  <si>
    <t>CDF 5,CIF 5</t>
  </si>
  <si>
    <t>Change to Data and Instruction Field 5</t>
  </si>
  <si>
    <t>CDF 6</t>
  </si>
  <si>
    <t>Change to Data Field 6</t>
  </si>
  <si>
    <t>CIF 6</t>
  </si>
  <si>
    <t>Change to Instruction Field 6</t>
  </si>
  <si>
    <t>CDF 6 ,CIF 6</t>
  </si>
  <si>
    <t>Change to Data and Instruction Field 6</t>
  </si>
  <si>
    <t>CDF 7</t>
  </si>
  <si>
    <t>Change to Data Field 7</t>
  </si>
  <si>
    <t>CIF 7</t>
  </si>
  <si>
    <t>Change to Instruction Field 7</t>
  </si>
  <si>
    <t>CDF 7,CIF 7</t>
  </si>
  <si>
    <t>Change to Data and Instruction Field 7</t>
  </si>
  <si>
    <t>WAITS</t>
  </si>
  <si>
    <t>WAIT</t>
  </si>
  <si>
    <t>CORE</t>
  </si>
  <si>
    <t>Tradition; secondary boot starts loading at 2</t>
  </si>
  <si>
    <t>Go back for another</t>
  </si>
  <si>
    <t>Increment load address</t>
  </si>
  <si>
    <t>Grab next item from silo</t>
  </si>
  <si>
    <t>LOAD</t>
  </si>
  <si>
    <t>Subroutine to give and take data from controller</t>
  </si>
  <si>
    <t>Is he ready to talk to us?</t>
  </si>
  <si>
    <t>No, is he perhaps done with silo, or in error?</t>
  </si>
  <si>
    <t>Yes, data in or out; if data to controller, AC unchanged</t>
  </si>
  <si>
    <t>No magic, just exit from Subroutine</t>
  </si>
  <si>
    <t>Unit^20+7004 to go to sys handler</t>
  </si>
  <si>
    <t>&lt;density^400&gt;+&lt;unit^20&gt; that booted OK</t>
  </si>
  <si>
    <t>Unused position</t>
  </si>
  <si>
    <t>READ</t>
  </si>
  <si>
    <t>RX1SAV</t>
  </si>
  <si>
    <t>UNIT</t>
  </si>
  <si>
    <t>Use 0's to indace diodes that are present</t>
  </si>
  <si>
    <t>Use X's to indicate diodes that have been clipped out</t>
  </si>
  <si>
    <t>Copy the jumper pattern at the bottom of the M847E module to the jumper field on the M847E sheet.</t>
  </si>
  <si>
    <t>Copy the diode pattern from the M847E module to the diode field on the M847E sheet.</t>
  </si>
  <si>
    <t>Use 0's to indace jumpers that are present</t>
  </si>
  <si>
    <t>Use X's to indicate jumpers that have been clipped out</t>
  </si>
  <si>
    <t>The Disassembly sheet has a rough disassembly of the program that's encoded by the diodes. You can</t>
  </si>
  <si>
    <t>add custom labels in column B, and you can add comments in column T if you want.</t>
  </si>
  <si>
    <t xml:space="preserve"> The final resulting disassembled code is in the Output sheet.</t>
  </si>
  <si>
    <t>M847E Boot Module Disassembler</t>
  </si>
  <si>
    <t>By Martin Eberhard</t>
  </si>
  <si>
    <t>Add Your Own Comment</t>
  </si>
  <si>
    <t>Your Own Label</t>
  </si>
  <si>
    <t>(If the cell turns bright red, then you've typed something other than an X or a 0.)</t>
  </si>
  <si>
    <t>disks, the console, etc.). There is no harm in listing other options, but there is also no need to.</t>
  </si>
  <si>
    <t xml:space="preserve">You only need to list the options that might be acessed by the boot code on the M847E (e.g. readers, </t>
  </si>
  <si>
    <t xml:space="preserve">On the Installed sheet, use the drop-down lists to select the options that are installed in the Omnibus. </t>
  </si>
  <si>
    <t>The diode pattern that's pre-loaded in this spreadsheet is as found on my own M847E board, and</t>
  </si>
  <si>
    <t>appears to be for booting from an R28 floppy disk system. The code is similar to the code found in the</t>
  </si>
  <si>
    <t>OS/8 Device Extensions User's Guide, Appendix A, though it seems to be an earlier version.</t>
  </si>
  <si>
    <t>KK8-E</t>
  </si>
  <si>
    <t>PDP-8e CPU</t>
  </si>
  <si>
    <t>Version 1.01</t>
  </si>
  <si>
    <t>LE8-0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</si>
</sst>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0&quot;. &quot;"/>
    <numFmt numFmtId="166" formatCode="[$-409]mmmm\ d\,\ yyyy;@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rial Unicode MS"/>
    </font>
    <font>
      <sz val="12"/>
      <color theme="4" tint="-0.2499465926084170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0" xfId="0" applyAlignment="1">
      <alignment vertical="center" wrapText="1"/>
    </xf>
    <xf numFmtId="0" fontId="0" fillId="3" borderId="42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 indent="1"/>
    </xf>
    <xf numFmtId="0" fontId="0" fillId="3" borderId="26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26" xfId="0" applyFill="1" applyBorder="1"/>
    <xf numFmtId="0" fontId="0" fillId="3" borderId="54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71" xfId="0" applyFill="1" applyBorder="1" applyAlignment="1">
      <alignment horizontal="center"/>
    </xf>
    <xf numFmtId="0" fontId="0" fillId="3" borderId="41" xfId="0" applyFill="1" applyBorder="1"/>
    <xf numFmtId="0" fontId="0" fillId="3" borderId="24" xfId="0" applyFill="1" applyBorder="1"/>
    <xf numFmtId="0" fontId="0" fillId="3" borderId="75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2" xfId="0" applyFill="1" applyBorder="1" applyAlignment="1">
      <alignment horizontal="left" indent="1"/>
    </xf>
    <xf numFmtId="0" fontId="0" fillId="3" borderId="36" xfId="0" applyFill="1" applyBorder="1"/>
    <xf numFmtId="0" fontId="0" fillId="3" borderId="16" xfId="0" applyFill="1" applyBorder="1"/>
    <xf numFmtId="0" fontId="0" fillId="3" borderId="76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77" xfId="0" applyFill="1" applyBorder="1" applyAlignment="1">
      <alignment horizontal="center"/>
    </xf>
    <xf numFmtId="0" fontId="0" fillId="3" borderId="78" xfId="0" applyFill="1" applyBorder="1" applyAlignment="1">
      <alignment horizontal="center"/>
    </xf>
    <xf numFmtId="0" fontId="0" fillId="3" borderId="79" xfId="0" applyFill="1" applyBorder="1" applyAlignment="1">
      <alignment horizontal="left" indent="1"/>
    </xf>
    <xf numFmtId="0" fontId="0" fillId="3" borderId="38" xfId="0" applyFill="1" applyBorder="1"/>
    <xf numFmtId="0" fontId="1" fillId="3" borderId="54" xfId="0" applyFont="1" applyFill="1" applyBorder="1" applyAlignment="1">
      <alignment horizontal="center"/>
    </xf>
    <xf numFmtId="0" fontId="1" fillId="3" borderId="71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36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0" fillId="3" borderId="70" xfId="0" applyFill="1" applyBorder="1" applyAlignment="1">
      <alignment horizontal="center"/>
    </xf>
    <xf numFmtId="0" fontId="0" fillId="3" borderId="38" xfId="0" applyFill="1" applyBorder="1" applyAlignment="1">
      <alignment horizontal="left"/>
    </xf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0" fontId="0" fillId="2" borderId="48" xfId="0" applyFill="1" applyBorder="1"/>
    <xf numFmtId="0" fontId="0" fillId="2" borderId="49" xfId="0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/>
    </xf>
    <xf numFmtId="0" fontId="0" fillId="2" borderId="49" xfId="0" applyFill="1" applyBorder="1" applyAlignment="1">
      <alignment horizontal="left"/>
    </xf>
    <xf numFmtId="0" fontId="0" fillId="2" borderId="50" xfId="0" applyFill="1" applyBorder="1"/>
    <xf numFmtId="0" fontId="0" fillId="2" borderId="51" xfId="0" applyFill="1" applyBorder="1"/>
    <xf numFmtId="0" fontId="0" fillId="2" borderId="52" xfId="0" applyFill="1" applyBorder="1"/>
    <xf numFmtId="0" fontId="0" fillId="2" borderId="46" xfId="0" applyFill="1" applyBorder="1" applyAlignment="1">
      <alignment horizontal="center"/>
    </xf>
    <xf numFmtId="0" fontId="0" fillId="2" borderId="49" xfId="0" applyFill="1" applyBorder="1"/>
    <xf numFmtId="0" fontId="0" fillId="2" borderId="51" xfId="0" applyFill="1" applyBorder="1" applyAlignment="1">
      <alignment horizontal="center"/>
    </xf>
    <xf numFmtId="0" fontId="0" fillId="3" borderId="36" xfId="0" applyFill="1" applyBorder="1" applyAlignment="1">
      <alignment horizontal="left" indent="2"/>
    </xf>
    <xf numFmtId="0" fontId="0" fillId="3" borderId="10" xfId="0" applyFill="1" applyBorder="1" applyAlignment="1">
      <alignment horizontal="left" indent="2"/>
    </xf>
    <xf numFmtId="0" fontId="0" fillId="3" borderId="38" xfId="0" applyFill="1" applyBorder="1" applyAlignment="1">
      <alignment horizontal="left" indent="2"/>
    </xf>
    <xf numFmtId="0" fontId="0" fillId="4" borderId="0" xfId="0" applyFill="1" applyAlignment="1">
      <alignment horizontal="left"/>
    </xf>
    <xf numFmtId="0" fontId="1" fillId="4" borderId="0" xfId="0" applyFont="1" applyFill="1"/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3" borderId="54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71" xfId="0" applyFill="1" applyBorder="1" applyAlignment="1">
      <alignment horizontal="center" vertical="center" wrapText="1"/>
    </xf>
    <xf numFmtId="0" fontId="0" fillId="3" borderId="66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164" fontId="0" fillId="3" borderId="35" xfId="0" applyNumberFormat="1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32" xfId="0" applyFill="1" applyBorder="1" applyAlignment="1"/>
    <xf numFmtId="0" fontId="0" fillId="3" borderId="20" xfId="0" applyFill="1" applyBorder="1" applyAlignment="1"/>
    <xf numFmtId="0" fontId="0" fillId="3" borderId="14" xfId="0" applyFill="1" applyBorder="1" applyAlignment="1"/>
    <xf numFmtId="0" fontId="0" fillId="3" borderId="36" xfId="0" applyFill="1" applyBorder="1" applyAlignment="1"/>
    <xf numFmtId="0" fontId="0" fillId="3" borderId="1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6" xfId="0" applyFill="1" applyBorder="1" applyAlignment="1"/>
    <xf numFmtId="0" fontId="0" fillId="3" borderId="2" xfId="0" applyFill="1" applyBorder="1" applyAlignment="1"/>
    <xf numFmtId="0" fontId="0" fillId="3" borderId="10" xfId="0" applyFill="1" applyBorder="1" applyAlignment="1"/>
    <xf numFmtId="0" fontId="0" fillId="3" borderId="18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164" fontId="0" fillId="3" borderId="37" xfId="0" applyNumberFormat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74" xfId="0" applyFill="1" applyBorder="1" applyAlignment="1">
      <alignment horizontal="center"/>
    </xf>
    <xf numFmtId="0" fontId="0" fillId="3" borderId="67" xfId="0" applyFill="1" applyBorder="1" applyAlignment="1">
      <alignment horizontal="center"/>
    </xf>
    <xf numFmtId="0" fontId="0" fillId="3" borderId="18" xfId="0" applyFill="1" applyBorder="1" applyAlignment="1"/>
    <xf numFmtId="0" fontId="0" fillId="3" borderId="21" xfId="0" applyFill="1" applyBorder="1" applyAlignment="1"/>
    <xf numFmtId="0" fontId="0" fillId="3" borderId="38" xfId="0" applyFill="1" applyBorder="1" applyAlignment="1"/>
    <xf numFmtId="0" fontId="0" fillId="3" borderId="71" xfId="0" applyFill="1" applyBorder="1" applyAlignment="1">
      <alignment horizontal="left" wrapText="1" indent="1"/>
    </xf>
    <xf numFmtId="0" fontId="0" fillId="3" borderId="36" xfId="0" applyFill="1" applyBorder="1" applyAlignment="1">
      <alignment horizontal="left" indent="1"/>
    </xf>
    <xf numFmtId="0" fontId="0" fillId="3" borderId="10" xfId="0" applyFill="1" applyBorder="1" applyAlignment="1">
      <alignment horizontal="left" indent="1"/>
    </xf>
    <xf numFmtId="0" fontId="0" fillId="3" borderId="38" xfId="0" applyFill="1" applyBorder="1" applyAlignment="1">
      <alignment horizontal="left" indent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0" xfId="0" applyFill="1" applyBorder="1"/>
    <xf numFmtId="0" fontId="0" fillId="7" borderId="12" xfId="0" applyFill="1" applyBorder="1" applyAlignment="1">
      <alignment horizontal="left" indent="1"/>
    </xf>
    <xf numFmtId="0" fontId="0" fillId="7" borderId="11" xfId="0" applyFill="1" applyBorder="1"/>
    <xf numFmtId="0" fontId="0" fillId="7" borderId="59" xfId="0" applyFill="1" applyBorder="1"/>
    <xf numFmtId="0" fontId="0" fillId="7" borderId="7" xfId="0" applyFill="1" applyBorder="1" applyAlignment="1">
      <alignment horizontal="left" indent="1"/>
    </xf>
    <xf numFmtId="0" fontId="0" fillId="7" borderId="0" xfId="0" applyFill="1" applyBorder="1"/>
    <xf numFmtId="0" fontId="0" fillId="7" borderId="60" xfId="0" applyFill="1" applyBorder="1"/>
    <xf numFmtId="0" fontId="0" fillId="7" borderId="22" xfId="0" applyFill="1" applyBorder="1" applyAlignment="1">
      <alignment horizontal="left" indent="1"/>
    </xf>
    <xf numFmtId="0" fontId="0" fillId="7" borderId="6" xfId="0" applyFill="1" applyBorder="1"/>
    <xf numFmtId="0" fontId="0" fillId="7" borderId="5" xfId="0" applyFill="1" applyBorder="1"/>
    <xf numFmtId="0" fontId="0" fillId="8" borderId="0" xfId="0" applyFill="1"/>
    <xf numFmtId="0" fontId="0" fillId="8" borderId="0" xfId="0" applyFill="1" applyAlignment="1">
      <alignment horizontal="right"/>
    </xf>
    <xf numFmtId="0" fontId="0" fillId="8" borderId="0" xfId="0" applyFill="1" applyBorder="1" applyAlignment="1">
      <alignment horizontal="right"/>
    </xf>
    <xf numFmtId="0" fontId="0" fillId="8" borderId="0" xfId="0" applyFill="1" applyBorder="1"/>
    <xf numFmtId="0" fontId="0" fillId="8" borderId="0" xfId="0" applyFill="1" applyBorder="1" applyAlignment="1"/>
    <xf numFmtId="0" fontId="4" fillId="3" borderId="36" xfId="0" applyFont="1" applyFill="1" applyBorder="1"/>
    <xf numFmtId="0" fontId="4" fillId="3" borderId="10" xfId="0" applyFont="1" applyFill="1" applyBorder="1"/>
    <xf numFmtId="0" fontId="4" fillId="3" borderId="38" xfId="0" applyFont="1" applyFill="1" applyBorder="1"/>
    <xf numFmtId="0" fontId="0" fillId="9" borderId="0" xfId="0" applyFill="1" applyAlignment="1">
      <alignment horizontal="right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9" borderId="0" xfId="0" applyFill="1" applyAlignment="1">
      <alignment horizontal="left"/>
    </xf>
    <xf numFmtId="0" fontId="0" fillId="9" borderId="0" xfId="0" applyFill="1" applyBorder="1" applyAlignment="1">
      <alignment horizontal="right"/>
    </xf>
    <xf numFmtId="0" fontId="0" fillId="9" borderId="54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53" xfId="0" applyFill="1" applyBorder="1" applyAlignment="1">
      <alignment horizontal="center"/>
    </xf>
    <xf numFmtId="0" fontId="0" fillId="9" borderId="71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35" xfId="0" applyFill="1" applyBorder="1" applyAlignment="1">
      <alignment horizontal="center"/>
    </xf>
    <xf numFmtId="0" fontId="0" fillId="10" borderId="36" xfId="0" applyFill="1" applyBorder="1" applyAlignment="1">
      <alignment horizontal="left"/>
    </xf>
    <xf numFmtId="0" fontId="0" fillId="10" borderId="70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0" fillId="10" borderId="38" xfId="0" applyFill="1" applyBorder="1" applyAlignment="1">
      <alignment horizontal="left"/>
    </xf>
    <xf numFmtId="0" fontId="0" fillId="10" borderId="35" xfId="0" applyFill="1" applyBorder="1" applyAlignment="1">
      <alignment horizontal="left"/>
    </xf>
    <xf numFmtId="0" fontId="0" fillId="10" borderId="15" xfId="0" applyFill="1" applyBorder="1" applyAlignment="1">
      <alignment horizontal="left"/>
    </xf>
    <xf numFmtId="0" fontId="0" fillId="10" borderId="9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left"/>
    </xf>
    <xf numFmtId="0" fontId="0" fillId="10" borderId="17" xfId="0" applyFill="1" applyBorder="1" applyAlignment="1">
      <alignment horizontal="left"/>
    </xf>
    <xf numFmtId="0" fontId="0" fillId="10" borderId="16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37" xfId="0" applyFill="1" applyBorder="1" applyAlignment="1">
      <alignment horizontal="left"/>
    </xf>
    <xf numFmtId="0" fontId="0" fillId="10" borderId="19" xfId="0" applyFill="1" applyBorder="1" applyAlignment="1">
      <alignment horizontal="left"/>
    </xf>
    <xf numFmtId="0" fontId="0" fillId="11" borderId="44" xfId="0" applyFill="1" applyBorder="1" applyAlignment="1">
      <alignment horizontal="center"/>
    </xf>
    <xf numFmtId="0" fontId="0" fillId="11" borderId="35" xfId="0" applyFill="1" applyBorder="1" applyAlignment="1">
      <alignment horizontal="center"/>
    </xf>
    <xf numFmtId="0" fontId="0" fillId="11" borderId="35" xfId="0" applyFill="1" applyBorder="1" applyAlignment="1">
      <alignment horizontal="left"/>
    </xf>
    <xf numFmtId="0" fontId="0" fillId="11" borderId="36" xfId="0" applyFill="1" applyBorder="1" applyAlignment="1">
      <alignment horizontal="left"/>
    </xf>
    <xf numFmtId="0" fontId="0" fillId="11" borderId="9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left"/>
    </xf>
    <xf numFmtId="0" fontId="0" fillId="11" borderId="10" xfId="0" applyFill="1" applyBorder="1" applyAlignment="1">
      <alignment horizontal="left"/>
    </xf>
    <xf numFmtId="0" fontId="0" fillId="11" borderId="70" xfId="0" applyFill="1" applyBorder="1" applyAlignment="1">
      <alignment horizontal="center"/>
    </xf>
    <xf numFmtId="0" fontId="0" fillId="11" borderId="37" xfId="0" applyFill="1" applyBorder="1" applyAlignment="1">
      <alignment horizontal="center"/>
    </xf>
    <xf numFmtId="0" fontId="0" fillId="11" borderId="37" xfId="0" applyFill="1" applyBorder="1" applyAlignment="1">
      <alignment horizontal="left"/>
    </xf>
    <xf numFmtId="0" fontId="0" fillId="11" borderId="38" xfId="0" applyFill="1" applyBorder="1" applyAlignment="1">
      <alignment horizontal="left"/>
    </xf>
    <xf numFmtId="0" fontId="0" fillId="10" borderId="10" xfId="0" applyFill="1" applyBorder="1" applyAlignment="1">
      <alignment horizontal="left"/>
    </xf>
    <xf numFmtId="0" fontId="0" fillId="10" borderId="54" xfId="0" applyFill="1" applyBorder="1" applyAlignment="1">
      <alignment horizontal="center"/>
    </xf>
    <xf numFmtId="0" fontId="0" fillId="10" borderId="29" xfId="0" applyFill="1" applyBorder="1" applyAlignment="1">
      <alignment horizontal="center"/>
    </xf>
    <xf numFmtId="0" fontId="0" fillId="10" borderId="29" xfId="0" applyFill="1" applyBorder="1" applyAlignment="1">
      <alignment horizontal="left"/>
    </xf>
    <xf numFmtId="0" fontId="0" fillId="10" borderId="71" xfId="0" applyFill="1" applyBorder="1" applyAlignment="1">
      <alignment horizontal="left"/>
    </xf>
    <xf numFmtId="0" fontId="5" fillId="9" borderId="42" xfId="0" applyFont="1" applyFill="1" applyBorder="1" applyAlignment="1">
      <alignment horizontal="center"/>
    </xf>
    <xf numFmtId="0" fontId="5" fillId="9" borderId="8" xfId="0" applyFont="1" applyFill="1" applyBorder="1"/>
    <xf numFmtId="0" fontId="5" fillId="9" borderId="67" xfId="0" applyFont="1" applyFill="1" applyBorder="1"/>
    <xf numFmtId="0" fontId="5" fillId="9" borderId="80" xfId="0" applyFont="1" applyFill="1" applyBorder="1"/>
    <xf numFmtId="0" fontId="0" fillId="10" borderId="43" xfId="0" applyFill="1" applyBorder="1" applyAlignment="1">
      <alignment horizontal="center"/>
    </xf>
    <xf numFmtId="0" fontId="0" fillId="10" borderId="72" xfId="0" applyFill="1" applyBorder="1" applyAlignment="1">
      <alignment horizontal="center"/>
    </xf>
    <xf numFmtId="0" fontId="0" fillId="10" borderId="72" xfId="0" applyFill="1" applyBorder="1" applyAlignment="1">
      <alignment horizontal="left"/>
    </xf>
    <xf numFmtId="0" fontId="0" fillId="10" borderId="81" xfId="0" applyFill="1" applyBorder="1" applyAlignment="1">
      <alignment horizontal="left"/>
    </xf>
    <xf numFmtId="0" fontId="5" fillId="9" borderId="73" xfId="0" applyFont="1" applyFill="1" applyBorder="1"/>
    <xf numFmtId="0" fontId="0" fillId="11" borderId="75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23" xfId="0" applyFill="1" applyBorder="1" applyAlignment="1">
      <alignment horizontal="left"/>
    </xf>
    <xf numFmtId="0" fontId="0" fillId="11" borderId="76" xfId="0" applyFill="1" applyBorder="1" applyAlignment="1">
      <alignment horizontal="left"/>
    </xf>
    <xf numFmtId="0" fontId="0" fillId="5" borderId="42" xfId="0" applyFill="1" applyBorder="1" applyAlignment="1" applyProtection="1">
      <protection locked="0"/>
    </xf>
    <xf numFmtId="0" fontId="0" fillId="5" borderId="8" xfId="0" applyFill="1" applyBorder="1" applyAlignment="1" applyProtection="1">
      <protection locked="0"/>
    </xf>
    <xf numFmtId="0" fontId="0" fillId="5" borderId="67" xfId="0" applyFill="1" applyBorder="1" applyAlignment="1" applyProtection="1">
      <protection locked="0"/>
    </xf>
    <xf numFmtId="0" fontId="0" fillId="5" borderId="44" xfId="0" applyFill="1" applyBorder="1" applyAlignment="1" applyProtection="1">
      <alignment horizontal="left"/>
      <protection locked="0"/>
    </xf>
    <xf numFmtId="0" fontId="0" fillId="5" borderId="9" xfId="0" applyFill="1" applyBorder="1" applyAlignment="1" applyProtection="1">
      <alignment horizontal="left"/>
      <protection locked="0"/>
    </xf>
    <xf numFmtId="0" fontId="0" fillId="5" borderId="70" xfId="0" applyFill="1" applyBorder="1" applyAlignment="1" applyProtection="1">
      <alignment horizontal="left"/>
      <protection locked="0"/>
    </xf>
    <xf numFmtId="0" fontId="0" fillId="5" borderId="35" xfId="0" applyFill="1" applyBorder="1" applyAlignment="1" applyProtection="1">
      <alignment horizontal="left" indent="1"/>
      <protection locked="0"/>
    </xf>
    <xf numFmtId="0" fontId="0" fillId="5" borderId="1" xfId="0" applyFill="1" applyBorder="1" applyAlignment="1" applyProtection="1">
      <alignment horizontal="left" indent="1"/>
      <protection locked="0"/>
    </xf>
    <xf numFmtId="0" fontId="0" fillId="5" borderId="37" xfId="0" applyFill="1" applyBorder="1" applyAlignment="1" applyProtection="1">
      <alignment horizontal="left" indent="1"/>
      <protection locked="0"/>
    </xf>
    <xf numFmtId="0" fontId="0" fillId="2" borderId="7" xfId="0" applyFill="1" applyBorder="1"/>
    <xf numFmtId="0" fontId="0" fillId="6" borderId="45" xfId="0" applyFill="1" applyBorder="1"/>
    <xf numFmtId="0" fontId="0" fillId="6" borderId="46" xfId="0" applyFill="1" applyBorder="1"/>
    <xf numFmtId="0" fontId="0" fillId="6" borderId="47" xfId="0" applyFill="1" applyBorder="1"/>
    <xf numFmtId="0" fontId="0" fillId="6" borderId="50" xfId="0" applyFill="1" applyBorder="1"/>
    <xf numFmtId="0" fontId="0" fillId="6" borderId="51" xfId="0" applyFill="1" applyBorder="1"/>
    <xf numFmtId="0" fontId="0" fillId="6" borderId="52" xfId="0" applyFill="1" applyBorder="1"/>
    <xf numFmtId="0" fontId="0" fillId="6" borderId="0" xfId="0" applyFill="1" applyAlignment="1">
      <alignment vertical="center"/>
    </xf>
    <xf numFmtId="0" fontId="0" fillId="6" borderId="0" xfId="0" applyFill="1" applyBorder="1" applyAlignment="1">
      <alignment horizontal="center"/>
    </xf>
    <xf numFmtId="0" fontId="0" fillId="6" borderId="68" xfId="0" applyFill="1" applyBorder="1"/>
    <xf numFmtId="0" fontId="0" fillId="6" borderId="48" xfId="0" applyFill="1" applyBorder="1"/>
    <xf numFmtId="0" fontId="0" fillId="6" borderId="7" xfId="0" applyFill="1" applyBorder="1"/>
    <xf numFmtId="0" fontId="0" fillId="6" borderId="49" xfId="0" applyFill="1" applyBorder="1"/>
    <xf numFmtId="0" fontId="0" fillId="6" borderId="6" xfId="0" applyFill="1" applyBorder="1" applyAlignment="1">
      <alignment horizontal="center"/>
    </xf>
    <xf numFmtId="0" fontId="0" fillId="6" borderId="0" xfId="0" applyFill="1" applyBorder="1" applyAlignment="1">
      <alignment horizontal="left"/>
    </xf>
    <xf numFmtId="0" fontId="0" fillId="6" borderId="50" xfId="0" applyFill="1" applyBorder="1" applyAlignment="1">
      <alignment horizontal="center"/>
    </xf>
    <xf numFmtId="0" fontId="0" fillId="6" borderId="51" xfId="0" applyFill="1" applyBorder="1" applyAlignment="1">
      <alignment horizontal="center"/>
    </xf>
    <xf numFmtId="0" fontId="0" fillId="6" borderId="69" xfId="0" applyFill="1" applyBorder="1" applyAlignment="1">
      <alignment horizontal="center"/>
    </xf>
    <xf numFmtId="0" fontId="0" fillId="6" borderId="52" xfId="0" applyFill="1" applyBorder="1" applyAlignment="1">
      <alignment horizont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/>
    <xf numFmtId="0" fontId="0" fillId="2" borderId="65" xfId="0" applyFill="1" applyBorder="1" applyAlignment="1" applyProtection="1">
      <alignment horizontal="center"/>
      <protection locked="0"/>
    </xf>
    <xf numFmtId="0" fontId="0" fillId="2" borderId="65" xfId="0" applyFill="1" applyBorder="1" applyAlignment="1" applyProtection="1">
      <alignment horizontal="center" vertical="center"/>
      <protection locked="0"/>
    </xf>
    <xf numFmtId="0" fontId="1" fillId="3" borderId="13" xfId="0" applyFont="1" applyFill="1" applyBorder="1"/>
    <xf numFmtId="0" fontId="0" fillId="3" borderId="65" xfId="0" applyFill="1" applyBorder="1"/>
    <xf numFmtId="0" fontId="0" fillId="6" borderId="46" xfId="0" applyFill="1" applyBorder="1" applyAlignment="1">
      <alignment horizontal="center"/>
    </xf>
    <xf numFmtId="165" fontId="0" fillId="0" borderId="0" xfId="0" applyNumberFormat="1"/>
    <xf numFmtId="166" fontId="0" fillId="6" borderId="0" xfId="0" applyNumberFormat="1" applyFill="1" applyBorder="1"/>
    <xf numFmtId="165" fontId="0" fillId="6" borderId="51" xfId="0" applyNumberFormat="1" applyFill="1" applyBorder="1"/>
    <xf numFmtId="0" fontId="0" fillId="2" borderId="12" xfId="0" applyFill="1" applyBorder="1"/>
    <xf numFmtId="0" fontId="0" fillId="2" borderId="59" xfId="0" applyFill="1" applyBorder="1"/>
    <xf numFmtId="0" fontId="0" fillId="2" borderId="60" xfId="0" applyFill="1" applyBorder="1"/>
    <xf numFmtId="166" fontId="0" fillId="2" borderId="60" xfId="0" applyNumberFormat="1" applyFill="1" applyBorder="1" applyAlignment="1">
      <alignment horizontal="left"/>
    </xf>
    <xf numFmtId="165" fontId="0" fillId="2" borderId="7" xfId="0" applyNumberFormat="1" applyFill="1" applyBorder="1"/>
    <xf numFmtId="0" fontId="0" fillId="2" borderId="60" xfId="0" applyFill="1" applyBorder="1" applyAlignment="1">
      <alignment horizontal="left" indent="2"/>
    </xf>
    <xf numFmtId="0" fontId="0" fillId="2" borderId="60" xfId="0" applyFill="1" applyBorder="1" applyAlignment="1">
      <alignment horizontal="left"/>
    </xf>
    <xf numFmtId="165" fontId="0" fillId="2" borderId="22" xfId="0" applyNumberFormat="1" applyFill="1" applyBorder="1"/>
    <xf numFmtId="0" fontId="0" fillId="2" borderId="5" xfId="0" applyFill="1" applyBorder="1"/>
    <xf numFmtId="0" fontId="0" fillId="12" borderId="14" xfId="0" applyFill="1" applyBorder="1" applyAlignment="1" applyProtection="1">
      <alignment horizontal="center" vertical="center"/>
      <protection locked="0"/>
    </xf>
    <xf numFmtId="0" fontId="0" fillId="12" borderId="40" xfId="0" applyFill="1" applyBorder="1" applyAlignment="1" applyProtection="1">
      <alignment horizontal="center" vertical="center"/>
      <protection locked="0"/>
    </xf>
    <xf numFmtId="0" fontId="0" fillId="12" borderId="61" xfId="0" applyFill="1" applyBorder="1" applyAlignment="1" applyProtection="1">
      <alignment horizontal="center" vertical="center"/>
      <protection locked="0"/>
    </xf>
    <xf numFmtId="0" fontId="0" fillId="12" borderId="62" xfId="0" applyFill="1" applyBorder="1" applyAlignment="1" applyProtection="1">
      <alignment horizontal="center" vertical="center"/>
      <protection locked="0"/>
    </xf>
    <xf numFmtId="0" fontId="0" fillId="12" borderId="16" xfId="0" applyFill="1" applyBorder="1" applyAlignment="1" applyProtection="1">
      <alignment horizontal="center" vertical="center"/>
      <protection locked="0"/>
    </xf>
    <xf numFmtId="0" fontId="0" fillId="12" borderId="4" xfId="0" applyFill="1" applyBorder="1" applyAlignment="1" applyProtection="1">
      <alignment horizontal="center" vertical="center"/>
      <protection locked="0"/>
    </xf>
    <xf numFmtId="0" fontId="0" fillId="12" borderId="55" xfId="0" applyFill="1" applyBorder="1" applyAlignment="1" applyProtection="1">
      <alignment horizontal="center" vertical="center"/>
      <protection locked="0"/>
    </xf>
    <xf numFmtId="0" fontId="0" fillId="12" borderId="56" xfId="0" applyFill="1" applyBorder="1" applyAlignment="1" applyProtection="1">
      <alignment horizontal="center" vertical="center"/>
      <protection locked="0"/>
    </xf>
    <xf numFmtId="0" fontId="0" fillId="12" borderId="18" xfId="0" applyFill="1" applyBorder="1" applyAlignment="1" applyProtection="1">
      <alignment horizontal="center" vertical="center"/>
      <protection locked="0"/>
    </xf>
    <xf numFmtId="0" fontId="0" fillId="12" borderId="31" xfId="0" applyFill="1" applyBorder="1" applyAlignment="1" applyProtection="1">
      <alignment horizontal="center" vertical="center"/>
      <protection locked="0"/>
    </xf>
    <xf numFmtId="0" fontId="0" fillId="12" borderId="63" xfId="0" applyFill="1" applyBorder="1" applyAlignment="1" applyProtection="1">
      <alignment horizontal="center" vertical="center"/>
      <protection locked="0"/>
    </xf>
    <xf numFmtId="0" fontId="0" fillId="12" borderId="64" xfId="0" applyFill="1" applyBorder="1" applyAlignment="1" applyProtection="1">
      <alignment horizontal="center" vertical="center"/>
      <protection locked="0"/>
    </xf>
    <xf numFmtId="0" fontId="0" fillId="12" borderId="15" xfId="0" applyFill="1" applyBorder="1" applyAlignment="1" applyProtection="1">
      <alignment horizontal="center" vertical="center"/>
      <protection locked="0"/>
    </xf>
    <xf numFmtId="0" fontId="0" fillId="12" borderId="17" xfId="0" applyFill="1" applyBorder="1" applyAlignment="1" applyProtection="1">
      <alignment horizontal="center" vertical="center"/>
      <protection locked="0"/>
    </xf>
    <xf numFmtId="0" fontId="0" fillId="12" borderId="19" xfId="0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/>
      <protection locked="0"/>
    </xf>
    <xf numFmtId="0" fontId="0" fillId="12" borderId="10" xfId="0" applyFill="1" applyBorder="1" applyAlignment="1" applyProtection="1">
      <alignment horizontal="center"/>
      <protection locked="0"/>
    </xf>
    <xf numFmtId="0" fontId="0" fillId="12" borderId="3" xfId="0" applyFill="1" applyBorder="1" applyAlignment="1" applyProtection="1">
      <alignment horizontal="center"/>
      <protection locked="0"/>
    </xf>
    <xf numFmtId="0" fontId="0" fillId="12" borderId="2" xfId="0" applyFill="1" applyBorder="1" applyAlignment="1" applyProtection="1">
      <alignment horizontal="center"/>
      <protection locked="0"/>
    </xf>
    <xf numFmtId="0" fontId="0" fillId="12" borderId="9" xfId="0" applyFill="1" applyBorder="1" applyAlignment="1" applyProtection="1">
      <alignment horizontal="center"/>
      <protection locked="0"/>
    </xf>
    <xf numFmtId="165" fontId="0" fillId="2" borderId="12" xfId="0" applyNumberFormat="1" applyFill="1" applyBorder="1"/>
    <xf numFmtId="0" fontId="0" fillId="2" borderId="57" xfId="0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53" xfId="0" applyFill="1" applyBorder="1" applyAlignment="1" applyProtection="1">
      <alignment horizontal="center"/>
      <protection locked="0"/>
    </xf>
    <xf numFmtId="0" fontId="0" fillId="3" borderId="26" xfId="0" applyFill="1" applyBorder="1" applyAlignment="1">
      <alignment horizontal="right"/>
    </xf>
    <xf numFmtId="0" fontId="0" fillId="3" borderId="53" xfId="0" applyFill="1" applyBorder="1" applyAlignment="1">
      <alignment horizontal="right"/>
    </xf>
    <xf numFmtId="0" fontId="0" fillId="3" borderId="27" xfId="0" applyFill="1" applyBorder="1" applyAlignment="1">
      <alignment horizontal="right"/>
    </xf>
    <xf numFmtId="0" fontId="0" fillId="3" borderId="28" xfId="0" applyFill="1" applyBorder="1" applyAlignment="1"/>
    <xf numFmtId="0" fontId="0" fillId="3" borderId="53" xfId="0" applyFill="1" applyBorder="1" applyAlignment="1"/>
    <xf numFmtId="0" fontId="0" fillId="3" borderId="30" xfId="0" applyFill="1" applyBorder="1" applyAlignment="1"/>
    <xf numFmtId="0" fontId="0" fillId="2" borderId="30" xfId="0" applyFill="1" applyBorder="1" applyAlignment="1" applyProtection="1">
      <alignment horizontal="center"/>
      <protection locked="0"/>
    </xf>
    <xf numFmtId="0" fontId="0" fillId="3" borderId="53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1" fillId="3" borderId="26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4">
    <dxf>
      <font>
        <color theme="1"/>
      </font>
      <fill>
        <patternFill patternType="lightVertical">
          <fgColor theme="1"/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rgb="FF9C0006"/>
      </font>
      <fill>
        <patternFill patternType="darkHorizontal">
          <fgColor rgb="FFFF7E79"/>
          <bgColor theme="0"/>
        </patternFill>
      </fill>
    </dxf>
    <dxf>
      <font>
        <color theme="1"/>
      </font>
      <fill>
        <patternFill>
          <bgColor theme="9" tint="0.79998168889431442"/>
        </patternFill>
      </fill>
    </dxf>
  </dxfs>
  <tableStyles count="0" defaultTableStyle="TableStyleMedium9" defaultPivotStyle="PivotStyleMedium7"/>
  <colors>
    <mruColors>
      <color rgb="FFF7FB8C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/>
  </sheetViews>
  <sheetFormatPr baseColWidth="10" defaultRowHeight="16" x14ac:dyDescent="0.2"/>
  <cols>
    <col min="1" max="1" width="4.83203125" customWidth="1"/>
    <col min="2" max="2" width="4.5" customWidth="1"/>
    <col min="3" max="3" width="88.6640625" customWidth="1"/>
    <col min="4" max="4" width="4.5" customWidth="1"/>
  </cols>
  <sheetData>
    <row r="1" spans="1:4" ht="17" thickTop="1" x14ac:dyDescent="0.2">
      <c r="A1" s="193"/>
      <c r="B1" s="194"/>
      <c r="C1" s="194"/>
      <c r="D1" s="195"/>
    </row>
    <row r="2" spans="1:4" x14ac:dyDescent="0.2">
      <c r="A2" s="202"/>
      <c r="B2" s="223"/>
      <c r="C2" s="224" t="s">
        <v>836</v>
      </c>
      <c r="D2" s="204"/>
    </row>
    <row r="3" spans="1:4" x14ac:dyDescent="0.2">
      <c r="A3" s="202"/>
      <c r="B3" s="192"/>
      <c r="C3" s="225" t="s">
        <v>849</v>
      </c>
      <c r="D3" s="204"/>
    </row>
    <row r="4" spans="1:4" x14ac:dyDescent="0.2">
      <c r="A4" s="202"/>
      <c r="B4" s="192"/>
      <c r="C4" s="225" t="s">
        <v>837</v>
      </c>
      <c r="D4" s="204"/>
    </row>
    <row r="5" spans="1:4" x14ac:dyDescent="0.2">
      <c r="A5" s="202"/>
      <c r="B5" s="192"/>
      <c r="C5" s="226">
        <v>43378</v>
      </c>
      <c r="D5" s="204"/>
    </row>
    <row r="6" spans="1:4" x14ac:dyDescent="0.2">
      <c r="A6" s="202"/>
      <c r="B6" s="192"/>
      <c r="C6" s="225"/>
      <c r="D6" s="204"/>
    </row>
    <row r="7" spans="1:4" x14ac:dyDescent="0.2">
      <c r="A7" s="202"/>
      <c r="B7" s="227">
        <v>1</v>
      </c>
      <c r="C7" s="225" t="s">
        <v>830</v>
      </c>
      <c r="D7" s="204"/>
    </row>
    <row r="8" spans="1:4" x14ac:dyDescent="0.2">
      <c r="A8" s="202"/>
      <c r="B8" s="227"/>
      <c r="C8" s="228" t="s">
        <v>827</v>
      </c>
      <c r="D8" s="204"/>
    </row>
    <row r="9" spans="1:4" x14ac:dyDescent="0.2">
      <c r="A9" s="202"/>
      <c r="B9" s="227"/>
      <c r="C9" s="228" t="s">
        <v>828</v>
      </c>
      <c r="D9" s="204"/>
    </row>
    <row r="10" spans="1:4" x14ac:dyDescent="0.2">
      <c r="A10" s="202"/>
      <c r="B10" s="227"/>
      <c r="C10" s="228" t="s">
        <v>840</v>
      </c>
      <c r="D10" s="204"/>
    </row>
    <row r="11" spans="1:4" x14ac:dyDescent="0.2">
      <c r="A11" s="202"/>
      <c r="B11" s="227">
        <v>2</v>
      </c>
      <c r="C11" s="225" t="s">
        <v>829</v>
      </c>
      <c r="D11" s="204"/>
    </row>
    <row r="12" spans="1:4" x14ac:dyDescent="0.2">
      <c r="A12" s="202"/>
      <c r="B12" s="227"/>
      <c r="C12" s="228" t="s">
        <v>831</v>
      </c>
      <c r="D12" s="204"/>
    </row>
    <row r="13" spans="1:4" x14ac:dyDescent="0.2">
      <c r="A13" s="202"/>
      <c r="B13" s="227"/>
      <c r="C13" s="228" t="s">
        <v>832</v>
      </c>
      <c r="D13" s="204"/>
    </row>
    <row r="14" spans="1:4" x14ac:dyDescent="0.2">
      <c r="A14" s="202"/>
      <c r="B14" s="227"/>
      <c r="C14" s="228" t="s">
        <v>840</v>
      </c>
      <c r="D14" s="204"/>
    </row>
    <row r="15" spans="1:4" x14ac:dyDescent="0.2">
      <c r="A15" s="202"/>
      <c r="B15" s="227">
        <v>3</v>
      </c>
      <c r="C15" s="229" t="s">
        <v>843</v>
      </c>
      <c r="D15" s="204"/>
    </row>
    <row r="16" spans="1:4" x14ac:dyDescent="0.2">
      <c r="A16" s="202"/>
      <c r="B16" s="227"/>
      <c r="C16" s="229" t="s">
        <v>842</v>
      </c>
      <c r="D16" s="204"/>
    </row>
    <row r="17" spans="1:4" x14ac:dyDescent="0.2">
      <c r="A17" s="202"/>
      <c r="B17" s="227"/>
      <c r="C17" s="229" t="s">
        <v>841</v>
      </c>
      <c r="D17" s="204"/>
    </row>
    <row r="18" spans="1:4" x14ac:dyDescent="0.2">
      <c r="A18" s="202"/>
      <c r="B18" s="227">
        <v>4</v>
      </c>
      <c r="C18" s="229" t="s">
        <v>833</v>
      </c>
      <c r="D18" s="204"/>
    </row>
    <row r="19" spans="1:4" x14ac:dyDescent="0.2">
      <c r="A19" s="202"/>
      <c r="B19" s="227"/>
      <c r="C19" s="229" t="s">
        <v>834</v>
      </c>
      <c r="D19" s="204"/>
    </row>
    <row r="20" spans="1:4" x14ac:dyDescent="0.2">
      <c r="A20" s="202"/>
      <c r="B20" s="230">
        <v>5</v>
      </c>
      <c r="C20" s="231" t="s">
        <v>835</v>
      </c>
      <c r="D20" s="204"/>
    </row>
    <row r="21" spans="1:4" x14ac:dyDescent="0.2">
      <c r="A21" s="202"/>
      <c r="B21" s="252"/>
      <c r="C21" s="224"/>
      <c r="D21" s="204"/>
    </row>
    <row r="22" spans="1:4" x14ac:dyDescent="0.2">
      <c r="A22" s="202"/>
      <c r="B22" s="227"/>
      <c r="C22" s="225" t="s">
        <v>844</v>
      </c>
      <c r="D22" s="204"/>
    </row>
    <row r="23" spans="1:4" x14ac:dyDescent="0.2">
      <c r="A23" s="202"/>
      <c r="B23" s="227"/>
      <c r="C23" s="225" t="s">
        <v>845</v>
      </c>
      <c r="D23" s="204"/>
    </row>
    <row r="24" spans="1:4" x14ac:dyDescent="0.2">
      <c r="A24" s="202"/>
      <c r="B24" s="227"/>
      <c r="C24" s="225" t="s">
        <v>846</v>
      </c>
      <c r="D24" s="204"/>
    </row>
    <row r="25" spans="1:4" x14ac:dyDescent="0.2">
      <c r="A25" s="202"/>
      <c r="B25" s="230"/>
      <c r="C25" s="231"/>
      <c r="D25" s="204"/>
    </row>
    <row r="26" spans="1:4" ht="17" thickBot="1" x14ac:dyDescent="0.25">
      <c r="A26" s="196"/>
      <c r="B26" s="222"/>
      <c r="C26" s="197"/>
      <c r="D26" s="198"/>
    </row>
    <row r="27" spans="1:4" ht="17" thickTop="1" x14ac:dyDescent="0.2">
      <c r="B27" s="220"/>
    </row>
    <row r="28" spans="1:4" x14ac:dyDescent="0.2">
      <c r="B28" s="220"/>
    </row>
    <row r="29" spans="1:4" x14ac:dyDescent="0.2">
      <c r="B29" s="220"/>
    </row>
    <row r="30" spans="1:4" x14ac:dyDescent="0.2">
      <c r="B30" s="220"/>
    </row>
    <row r="31" spans="1:4" x14ac:dyDescent="0.2">
      <c r="B31" s="220"/>
    </row>
    <row r="32" spans="1:4" x14ac:dyDescent="0.2">
      <c r="B32" s="220"/>
    </row>
    <row r="33" spans="2:2" x14ac:dyDescent="0.2">
      <c r="B33" s="220"/>
    </row>
    <row r="34" spans="2:2" x14ac:dyDescent="0.2">
      <c r="B34" s="220"/>
    </row>
    <row r="35" spans="2:2" x14ac:dyDescent="0.2">
      <c r="B35" s="220"/>
    </row>
    <row r="36" spans="2:2" x14ac:dyDescent="0.2">
      <c r="B36" s="220"/>
    </row>
    <row r="37" spans="2:2" x14ac:dyDescent="0.2">
      <c r="B37" s="220"/>
    </row>
    <row r="38" spans="2:2" x14ac:dyDescent="0.2">
      <c r="B38" s="220"/>
    </row>
    <row r="39" spans="2:2" x14ac:dyDescent="0.2">
      <c r="B39" s="220"/>
    </row>
    <row r="40" spans="2:2" x14ac:dyDescent="0.2">
      <c r="B40" s="220"/>
    </row>
    <row r="41" spans="2:2" x14ac:dyDescent="0.2">
      <c r="B41" s="220"/>
    </row>
    <row r="42" spans="2:2" x14ac:dyDescent="0.2">
      <c r="B42" s="220"/>
    </row>
    <row r="43" spans="2:2" x14ac:dyDescent="0.2">
      <c r="B43" s="220"/>
    </row>
    <row r="44" spans="2:2" x14ac:dyDescent="0.2">
      <c r="B44" s="220"/>
    </row>
    <row r="45" spans="2:2" x14ac:dyDescent="0.2">
      <c r="B45" s="220"/>
    </row>
    <row r="46" spans="2:2" x14ac:dyDescent="0.2">
      <c r="B46" s="220"/>
    </row>
    <row r="47" spans="2:2" x14ac:dyDescent="0.2">
      <c r="B47" s="220"/>
    </row>
    <row r="48" spans="2:2" x14ac:dyDescent="0.2">
      <c r="B48" s="220"/>
    </row>
    <row r="49" spans="2:2" x14ac:dyDescent="0.2">
      <c r="B49" s="220"/>
    </row>
    <row r="50" spans="2:2" x14ac:dyDescent="0.2">
      <c r="B50" s="220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2"/>
  <sheetViews>
    <sheetView zoomScale="108" workbookViewId="0">
      <selection activeCell="P6" sqref="P6"/>
    </sheetView>
  </sheetViews>
  <sheetFormatPr baseColWidth="10" defaultRowHeight="16" x14ac:dyDescent="0.2"/>
  <cols>
    <col min="1" max="1" width="10.6640625" bestFit="1" customWidth="1"/>
    <col min="2" max="33" width="3.6640625" customWidth="1"/>
    <col min="34" max="34" width="1.83203125" customWidth="1"/>
    <col min="35" max="66" width="3.6640625" customWidth="1"/>
    <col min="67" max="67" width="1.83203125" customWidth="1"/>
    <col min="68" max="68" width="8.1640625" customWidth="1"/>
    <col min="69" max="69" width="4.6640625" customWidth="1"/>
    <col min="70" max="70" width="3.6640625" customWidth="1"/>
  </cols>
  <sheetData>
    <row r="1" spans="1:70" ht="17" thickBot="1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</row>
    <row r="2" spans="1:70" ht="17" thickTop="1" x14ac:dyDescent="0.2">
      <c r="A2" s="108"/>
      <c r="B2" s="108"/>
      <c r="C2" s="40" t="s">
        <v>0</v>
      </c>
      <c r="D2" s="41"/>
      <c r="E2" s="41"/>
      <c r="F2" s="41"/>
      <c r="G2" s="42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</row>
    <row r="3" spans="1:70" ht="17" thickBot="1" x14ac:dyDescent="0.25">
      <c r="A3" s="108"/>
      <c r="B3" s="108"/>
      <c r="C3" s="47" t="s">
        <v>1</v>
      </c>
      <c r="D3" s="48"/>
      <c r="E3" s="48"/>
      <c r="F3" s="48"/>
      <c r="G3" s="49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</row>
    <row r="4" spans="1:70" ht="18" thickTop="1" thickBo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</row>
    <row r="5" spans="1:70" ht="17" thickBot="1" x14ac:dyDescent="0.25">
      <c r="A5" s="108"/>
      <c r="B5" s="255">
        <v>1</v>
      </c>
      <c r="C5" s="256"/>
      <c r="D5" s="253">
        <v>2</v>
      </c>
      <c r="E5" s="254"/>
      <c r="F5" s="256">
        <v>3</v>
      </c>
      <c r="G5" s="256"/>
      <c r="H5" s="253">
        <v>4</v>
      </c>
      <c r="I5" s="254"/>
      <c r="J5" s="256">
        <v>5</v>
      </c>
      <c r="K5" s="256"/>
      <c r="L5" s="253">
        <v>6</v>
      </c>
      <c r="M5" s="254"/>
      <c r="N5" s="256">
        <v>7</v>
      </c>
      <c r="O5" s="256"/>
      <c r="P5" s="253">
        <v>8</v>
      </c>
      <c r="Q5" s="254"/>
      <c r="R5" s="256">
        <v>9</v>
      </c>
      <c r="S5" s="256"/>
      <c r="T5" s="253">
        <v>10</v>
      </c>
      <c r="U5" s="254"/>
      <c r="V5" s="256">
        <v>11</v>
      </c>
      <c r="W5" s="256"/>
      <c r="X5" s="253">
        <v>12</v>
      </c>
      <c r="Y5" s="254"/>
      <c r="Z5" s="256">
        <v>13</v>
      </c>
      <c r="AA5" s="256"/>
      <c r="AB5" s="253">
        <v>14</v>
      </c>
      <c r="AC5" s="254"/>
      <c r="AD5" s="256">
        <v>15</v>
      </c>
      <c r="AE5" s="256"/>
      <c r="AF5" s="253">
        <v>16</v>
      </c>
      <c r="AG5" s="256"/>
      <c r="AH5" s="215"/>
      <c r="AI5" s="256">
        <v>17</v>
      </c>
      <c r="AJ5" s="256"/>
      <c r="AK5" s="253">
        <v>18</v>
      </c>
      <c r="AL5" s="254"/>
      <c r="AM5" s="256">
        <v>19</v>
      </c>
      <c r="AN5" s="256"/>
      <c r="AO5" s="253">
        <v>20</v>
      </c>
      <c r="AP5" s="254"/>
      <c r="AQ5" s="256">
        <v>21</v>
      </c>
      <c r="AR5" s="256"/>
      <c r="AS5" s="253">
        <v>22</v>
      </c>
      <c r="AT5" s="254"/>
      <c r="AU5" s="256">
        <v>23</v>
      </c>
      <c r="AV5" s="256"/>
      <c r="AW5" s="253">
        <v>24</v>
      </c>
      <c r="AX5" s="254"/>
      <c r="AY5" s="256">
        <v>25</v>
      </c>
      <c r="AZ5" s="256"/>
      <c r="BA5" s="253">
        <v>26</v>
      </c>
      <c r="BB5" s="254"/>
      <c r="BC5" s="256">
        <v>27</v>
      </c>
      <c r="BD5" s="256"/>
      <c r="BE5" s="253">
        <v>28</v>
      </c>
      <c r="BF5" s="254"/>
      <c r="BG5" s="256">
        <v>29</v>
      </c>
      <c r="BH5" s="256"/>
      <c r="BI5" s="253">
        <v>30</v>
      </c>
      <c r="BJ5" s="254"/>
      <c r="BK5" s="256">
        <v>31</v>
      </c>
      <c r="BL5" s="256"/>
      <c r="BM5" s="253">
        <v>32</v>
      </c>
      <c r="BN5" s="263"/>
      <c r="BO5" s="108"/>
      <c r="BP5" s="108"/>
      <c r="BQ5" s="108"/>
      <c r="BR5" s="108"/>
    </row>
    <row r="6" spans="1:70" s="3" customFormat="1" ht="65" customHeight="1" x14ac:dyDescent="0.2">
      <c r="A6" s="199"/>
      <c r="B6" s="232" t="s">
        <v>2</v>
      </c>
      <c r="C6" s="233" t="s">
        <v>3</v>
      </c>
      <c r="D6" s="234" t="s">
        <v>3</v>
      </c>
      <c r="E6" s="235" t="s">
        <v>2</v>
      </c>
      <c r="F6" s="233" t="s">
        <v>3</v>
      </c>
      <c r="G6" s="233" t="s">
        <v>3</v>
      </c>
      <c r="H6" s="234" t="s">
        <v>2</v>
      </c>
      <c r="I6" s="235" t="s">
        <v>3</v>
      </c>
      <c r="J6" s="233" t="s">
        <v>3</v>
      </c>
      <c r="K6" s="233" t="s">
        <v>3</v>
      </c>
      <c r="L6" s="234" t="s">
        <v>3</v>
      </c>
      <c r="M6" s="235" t="s">
        <v>3</v>
      </c>
      <c r="N6" s="233" t="s">
        <v>2</v>
      </c>
      <c r="O6" s="233" t="s">
        <v>3</v>
      </c>
      <c r="P6" s="234" t="s">
        <v>3</v>
      </c>
      <c r="Q6" s="235" t="s">
        <v>3</v>
      </c>
      <c r="R6" s="233" t="s">
        <v>3</v>
      </c>
      <c r="S6" s="233" t="s">
        <v>3</v>
      </c>
      <c r="T6" s="234" t="s">
        <v>3</v>
      </c>
      <c r="U6" s="235" t="s">
        <v>3</v>
      </c>
      <c r="V6" s="233" t="s">
        <v>3</v>
      </c>
      <c r="W6" s="233" t="s">
        <v>3</v>
      </c>
      <c r="X6" s="234" t="s">
        <v>2</v>
      </c>
      <c r="Y6" s="235" t="s">
        <v>3</v>
      </c>
      <c r="Z6" s="233" t="s">
        <v>3</v>
      </c>
      <c r="AA6" s="233" t="s">
        <v>3</v>
      </c>
      <c r="AB6" s="234" t="s">
        <v>3</v>
      </c>
      <c r="AC6" s="235" t="s">
        <v>2</v>
      </c>
      <c r="AD6" s="233" t="s">
        <v>3</v>
      </c>
      <c r="AE6" s="233" t="s">
        <v>3</v>
      </c>
      <c r="AF6" s="234" t="s">
        <v>3</v>
      </c>
      <c r="AG6" s="233" t="s">
        <v>2</v>
      </c>
      <c r="AH6" s="216"/>
      <c r="AI6" s="232" t="s">
        <v>3</v>
      </c>
      <c r="AJ6" s="233" t="s">
        <v>2</v>
      </c>
      <c r="AK6" s="234" t="s">
        <v>2</v>
      </c>
      <c r="AL6" s="235" t="s">
        <v>3</v>
      </c>
      <c r="AM6" s="233" t="s">
        <v>3</v>
      </c>
      <c r="AN6" s="233" t="s">
        <v>3</v>
      </c>
      <c r="AO6" s="234" t="s">
        <v>3</v>
      </c>
      <c r="AP6" s="235" t="s">
        <v>3</v>
      </c>
      <c r="AQ6" s="233" t="s">
        <v>2</v>
      </c>
      <c r="AR6" s="233" t="s">
        <v>2</v>
      </c>
      <c r="AS6" s="234" t="s">
        <v>3</v>
      </c>
      <c r="AT6" s="235" t="s">
        <v>2</v>
      </c>
      <c r="AU6" s="233" t="s">
        <v>3</v>
      </c>
      <c r="AV6" s="233" t="s">
        <v>3</v>
      </c>
      <c r="AW6" s="234" t="s">
        <v>2</v>
      </c>
      <c r="AX6" s="235" t="s">
        <v>2</v>
      </c>
      <c r="AY6" s="233" t="s">
        <v>3</v>
      </c>
      <c r="AZ6" s="233" t="s">
        <v>3</v>
      </c>
      <c r="BA6" s="234" t="s">
        <v>2</v>
      </c>
      <c r="BB6" s="235" t="s">
        <v>3</v>
      </c>
      <c r="BC6" s="233" t="s">
        <v>3</v>
      </c>
      <c r="BD6" s="233" t="s">
        <v>3</v>
      </c>
      <c r="BE6" s="234" t="s">
        <v>3</v>
      </c>
      <c r="BF6" s="235" t="s">
        <v>3</v>
      </c>
      <c r="BG6" s="233" t="s">
        <v>2</v>
      </c>
      <c r="BH6" s="233" t="s">
        <v>3</v>
      </c>
      <c r="BI6" s="234" t="s">
        <v>2</v>
      </c>
      <c r="BJ6" s="235" t="s">
        <v>3</v>
      </c>
      <c r="BK6" s="233" t="s">
        <v>3</v>
      </c>
      <c r="BL6" s="233" t="s">
        <v>3</v>
      </c>
      <c r="BM6" s="234" t="s">
        <v>3</v>
      </c>
      <c r="BN6" s="244" t="s">
        <v>3</v>
      </c>
      <c r="BO6" s="199"/>
      <c r="BP6" s="199"/>
      <c r="BQ6" s="199"/>
      <c r="BR6" s="199"/>
    </row>
    <row r="7" spans="1:70" s="3" customFormat="1" ht="65" customHeight="1" x14ac:dyDescent="0.2">
      <c r="A7" s="199"/>
      <c r="B7" s="236" t="s">
        <v>3</v>
      </c>
      <c r="C7" s="237" t="s">
        <v>3</v>
      </c>
      <c r="D7" s="238" t="s">
        <v>3</v>
      </c>
      <c r="E7" s="239" t="s">
        <v>2</v>
      </c>
      <c r="F7" s="237" t="s">
        <v>2</v>
      </c>
      <c r="G7" s="237" t="s">
        <v>3</v>
      </c>
      <c r="H7" s="238" t="s">
        <v>2</v>
      </c>
      <c r="I7" s="239" t="s">
        <v>3</v>
      </c>
      <c r="J7" s="237" t="s">
        <v>2</v>
      </c>
      <c r="K7" s="237" t="s">
        <v>2</v>
      </c>
      <c r="L7" s="238" t="s">
        <v>2</v>
      </c>
      <c r="M7" s="239" t="s">
        <v>2</v>
      </c>
      <c r="N7" s="237" t="s">
        <v>2</v>
      </c>
      <c r="O7" s="237" t="s">
        <v>3</v>
      </c>
      <c r="P7" s="238" t="s">
        <v>2</v>
      </c>
      <c r="Q7" s="239" t="s">
        <v>3</v>
      </c>
      <c r="R7" s="237" t="s">
        <v>2</v>
      </c>
      <c r="S7" s="237" t="s">
        <v>2</v>
      </c>
      <c r="T7" s="238" t="s">
        <v>2</v>
      </c>
      <c r="U7" s="239" t="s">
        <v>3</v>
      </c>
      <c r="V7" s="237" t="s">
        <v>2</v>
      </c>
      <c r="W7" s="237" t="s">
        <v>3</v>
      </c>
      <c r="X7" s="238" t="s">
        <v>2</v>
      </c>
      <c r="Y7" s="239" t="s">
        <v>3</v>
      </c>
      <c r="Z7" s="237" t="s">
        <v>2</v>
      </c>
      <c r="AA7" s="237" t="s">
        <v>2</v>
      </c>
      <c r="AB7" s="238" t="s">
        <v>3</v>
      </c>
      <c r="AC7" s="239" t="s">
        <v>2</v>
      </c>
      <c r="AD7" s="237" t="s">
        <v>2</v>
      </c>
      <c r="AE7" s="237" t="s">
        <v>3</v>
      </c>
      <c r="AF7" s="238" t="s">
        <v>3</v>
      </c>
      <c r="AG7" s="237" t="s">
        <v>2</v>
      </c>
      <c r="AH7" s="216"/>
      <c r="AI7" s="236" t="s">
        <v>3</v>
      </c>
      <c r="AJ7" s="237" t="s">
        <v>3</v>
      </c>
      <c r="AK7" s="238" t="s">
        <v>3</v>
      </c>
      <c r="AL7" s="239" t="s">
        <v>2</v>
      </c>
      <c r="AM7" s="237" t="s">
        <v>2</v>
      </c>
      <c r="AN7" s="237" t="s">
        <v>3</v>
      </c>
      <c r="AO7" s="238" t="s">
        <v>2</v>
      </c>
      <c r="AP7" s="239" t="s">
        <v>2</v>
      </c>
      <c r="AQ7" s="237" t="s">
        <v>2</v>
      </c>
      <c r="AR7" s="237" t="s">
        <v>3</v>
      </c>
      <c r="AS7" s="238" t="s">
        <v>2</v>
      </c>
      <c r="AT7" s="239" t="s">
        <v>3</v>
      </c>
      <c r="AU7" s="237" t="s">
        <v>2</v>
      </c>
      <c r="AV7" s="237" t="s">
        <v>2</v>
      </c>
      <c r="AW7" s="238" t="s">
        <v>2</v>
      </c>
      <c r="AX7" s="239" t="s">
        <v>2</v>
      </c>
      <c r="AY7" s="237" t="s">
        <v>2</v>
      </c>
      <c r="AZ7" s="237" t="s">
        <v>3</v>
      </c>
      <c r="BA7" s="238" t="s">
        <v>3</v>
      </c>
      <c r="BB7" s="239" t="s">
        <v>2</v>
      </c>
      <c r="BC7" s="237" t="s">
        <v>2</v>
      </c>
      <c r="BD7" s="237" t="s">
        <v>3</v>
      </c>
      <c r="BE7" s="238" t="s">
        <v>2</v>
      </c>
      <c r="BF7" s="239" t="s">
        <v>2</v>
      </c>
      <c r="BG7" s="237" t="s">
        <v>3</v>
      </c>
      <c r="BH7" s="237" t="s">
        <v>3</v>
      </c>
      <c r="BI7" s="238" t="s">
        <v>3</v>
      </c>
      <c r="BJ7" s="239" t="s">
        <v>3</v>
      </c>
      <c r="BK7" s="237" t="s">
        <v>3</v>
      </c>
      <c r="BL7" s="237" t="s">
        <v>3</v>
      </c>
      <c r="BM7" s="238" t="s">
        <v>3</v>
      </c>
      <c r="BN7" s="245" t="s">
        <v>3</v>
      </c>
      <c r="BO7" s="199"/>
      <c r="BP7" s="199"/>
      <c r="BQ7" s="199"/>
      <c r="BR7" s="199"/>
    </row>
    <row r="8" spans="1:70" s="3" customFormat="1" ht="65" customHeight="1" x14ac:dyDescent="0.2">
      <c r="A8" s="199"/>
      <c r="B8" s="236" t="s">
        <v>2</v>
      </c>
      <c r="C8" s="237" t="s">
        <v>3</v>
      </c>
      <c r="D8" s="238" t="s">
        <v>2</v>
      </c>
      <c r="E8" s="239" t="s">
        <v>3</v>
      </c>
      <c r="F8" s="237" t="s">
        <v>3</v>
      </c>
      <c r="G8" s="237" t="s">
        <v>2</v>
      </c>
      <c r="H8" s="238" t="s">
        <v>2</v>
      </c>
      <c r="I8" s="239" t="s">
        <v>3</v>
      </c>
      <c r="J8" s="237" t="s">
        <v>3</v>
      </c>
      <c r="K8" s="237" t="s">
        <v>2</v>
      </c>
      <c r="L8" s="238" t="s">
        <v>3</v>
      </c>
      <c r="M8" s="239" t="s">
        <v>2</v>
      </c>
      <c r="N8" s="237" t="s">
        <v>2</v>
      </c>
      <c r="O8" s="237" t="s">
        <v>3</v>
      </c>
      <c r="P8" s="238" t="s">
        <v>3</v>
      </c>
      <c r="Q8" s="239" t="s">
        <v>2</v>
      </c>
      <c r="R8" s="237" t="s">
        <v>3</v>
      </c>
      <c r="S8" s="237" t="s">
        <v>3</v>
      </c>
      <c r="T8" s="238" t="s">
        <v>3</v>
      </c>
      <c r="U8" s="239" t="s">
        <v>2</v>
      </c>
      <c r="V8" s="237" t="s">
        <v>3</v>
      </c>
      <c r="W8" s="237" t="s">
        <v>3</v>
      </c>
      <c r="X8" s="238" t="s">
        <v>3</v>
      </c>
      <c r="Y8" s="239" t="s">
        <v>3</v>
      </c>
      <c r="Z8" s="237" t="s">
        <v>2</v>
      </c>
      <c r="AA8" s="237" t="s">
        <v>3</v>
      </c>
      <c r="AB8" s="238" t="s">
        <v>2</v>
      </c>
      <c r="AC8" s="239" t="s">
        <v>3</v>
      </c>
      <c r="AD8" s="237" t="s">
        <v>2</v>
      </c>
      <c r="AE8" s="237" t="s">
        <v>3</v>
      </c>
      <c r="AF8" s="238" t="s">
        <v>2</v>
      </c>
      <c r="AG8" s="237" t="s">
        <v>3</v>
      </c>
      <c r="AH8" s="216"/>
      <c r="AI8" s="236" t="s">
        <v>2</v>
      </c>
      <c r="AJ8" s="237" t="s">
        <v>3</v>
      </c>
      <c r="AK8" s="238" t="s">
        <v>2</v>
      </c>
      <c r="AL8" s="239" t="s">
        <v>3</v>
      </c>
      <c r="AM8" s="237" t="s">
        <v>3</v>
      </c>
      <c r="AN8" s="237" t="s">
        <v>2</v>
      </c>
      <c r="AO8" s="238" t="s">
        <v>3</v>
      </c>
      <c r="AP8" s="239" t="s">
        <v>2</v>
      </c>
      <c r="AQ8" s="237" t="s">
        <v>2</v>
      </c>
      <c r="AR8" s="237" t="s">
        <v>3</v>
      </c>
      <c r="AS8" s="238" t="s">
        <v>3</v>
      </c>
      <c r="AT8" s="239" t="s">
        <v>2</v>
      </c>
      <c r="AU8" s="237" t="s">
        <v>2</v>
      </c>
      <c r="AV8" s="237" t="s">
        <v>3</v>
      </c>
      <c r="AW8" s="238" t="s">
        <v>2</v>
      </c>
      <c r="AX8" s="239" t="s">
        <v>2</v>
      </c>
      <c r="AY8" s="237" t="s">
        <v>3</v>
      </c>
      <c r="AZ8" s="237" t="s">
        <v>2</v>
      </c>
      <c r="BA8" s="238" t="s">
        <v>3</v>
      </c>
      <c r="BB8" s="239" t="s">
        <v>3</v>
      </c>
      <c r="BC8" s="237" t="s">
        <v>3</v>
      </c>
      <c r="BD8" s="237" t="s">
        <v>2</v>
      </c>
      <c r="BE8" s="238" t="s">
        <v>3</v>
      </c>
      <c r="BF8" s="239" t="s">
        <v>3</v>
      </c>
      <c r="BG8" s="237" t="s">
        <v>2</v>
      </c>
      <c r="BH8" s="237" t="s">
        <v>3</v>
      </c>
      <c r="BI8" s="238" t="s">
        <v>3</v>
      </c>
      <c r="BJ8" s="239" t="s">
        <v>2</v>
      </c>
      <c r="BK8" s="237" t="s">
        <v>3</v>
      </c>
      <c r="BL8" s="237" t="s">
        <v>3</v>
      </c>
      <c r="BM8" s="238" t="s">
        <v>3</v>
      </c>
      <c r="BN8" s="245" t="s">
        <v>3</v>
      </c>
      <c r="BO8" s="199"/>
      <c r="BP8" s="199"/>
      <c r="BQ8" s="199"/>
      <c r="BR8" s="199"/>
    </row>
    <row r="9" spans="1:70" s="3" customFormat="1" ht="65" customHeight="1" x14ac:dyDescent="0.2">
      <c r="A9" s="199"/>
      <c r="B9" s="236" t="s">
        <v>3</v>
      </c>
      <c r="C9" s="237" t="s">
        <v>2</v>
      </c>
      <c r="D9" s="238" t="s">
        <v>2</v>
      </c>
      <c r="E9" s="239" t="s">
        <v>2</v>
      </c>
      <c r="F9" s="237" t="s">
        <v>2</v>
      </c>
      <c r="G9" s="237" t="s">
        <v>3</v>
      </c>
      <c r="H9" s="238" t="s">
        <v>2</v>
      </c>
      <c r="I9" s="239" t="s">
        <v>2</v>
      </c>
      <c r="J9" s="237" t="s">
        <v>2</v>
      </c>
      <c r="K9" s="237" t="s">
        <v>2</v>
      </c>
      <c r="L9" s="238" t="s">
        <v>2</v>
      </c>
      <c r="M9" s="239" t="s">
        <v>2</v>
      </c>
      <c r="N9" s="237" t="s">
        <v>3</v>
      </c>
      <c r="O9" s="237" t="s">
        <v>2</v>
      </c>
      <c r="P9" s="238" t="s">
        <v>3</v>
      </c>
      <c r="Q9" s="239" t="s">
        <v>3</v>
      </c>
      <c r="R9" s="237" t="s">
        <v>3</v>
      </c>
      <c r="S9" s="237" t="s">
        <v>2</v>
      </c>
      <c r="T9" s="238" t="s">
        <v>3</v>
      </c>
      <c r="U9" s="239" t="s">
        <v>3</v>
      </c>
      <c r="V9" s="237" t="s">
        <v>2</v>
      </c>
      <c r="W9" s="237" t="s">
        <v>3</v>
      </c>
      <c r="X9" s="238" t="s">
        <v>2</v>
      </c>
      <c r="Y9" s="239" t="s">
        <v>3</v>
      </c>
      <c r="Z9" s="237" t="s">
        <v>3</v>
      </c>
      <c r="AA9" s="237" t="s">
        <v>2</v>
      </c>
      <c r="AB9" s="238" t="s">
        <v>2</v>
      </c>
      <c r="AC9" s="239" t="s">
        <v>2</v>
      </c>
      <c r="AD9" s="237" t="s">
        <v>2</v>
      </c>
      <c r="AE9" s="237" t="s">
        <v>2</v>
      </c>
      <c r="AF9" s="238" t="s">
        <v>2</v>
      </c>
      <c r="AG9" s="237" t="s">
        <v>2</v>
      </c>
      <c r="AH9" s="216"/>
      <c r="AI9" s="236" t="s">
        <v>2</v>
      </c>
      <c r="AJ9" s="237" t="s">
        <v>2</v>
      </c>
      <c r="AK9" s="238" t="s">
        <v>3</v>
      </c>
      <c r="AL9" s="239" t="s">
        <v>2</v>
      </c>
      <c r="AM9" s="237" t="s">
        <v>2</v>
      </c>
      <c r="AN9" s="237" t="s">
        <v>3</v>
      </c>
      <c r="AO9" s="238" t="s">
        <v>2</v>
      </c>
      <c r="AP9" s="239" t="s">
        <v>2</v>
      </c>
      <c r="AQ9" s="237" t="s">
        <v>2</v>
      </c>
      <c r="AR9" s="237" t="s">
        <v>2</v>
      </c>
      <c r="AS9" s="238" t="s">
        <v>2</v>
      </c>
      <c r="AT9" s="239" t="s">
        <v>2</v>
      </c>
      <c r="AU9" s="237" t="s">
        <v>3</v>
      </c>
      <c r="AV9" s="237" t="s">
        <v>2</v>
      </c>
      <c r="AW9" s="238" t="s">
        <v>2</v>
      </c>
      <c r="AX9" s="239" t="s">
        <v>2</v>
      </c>
      <c r="AY9" s="237" t="s">
        <v>2</v>
      </c>
      <c r="AZ9" s="237" t="s">
        <v>3</v>
      </c>
      <c r="BA9" s="238" t="s">
        <v>2</v>
      </c>
      <c r="BB9" s="239" t="s">
        <v>2</v>
      </c>
      <c r="BC9" s="237" t="s">
        <v>2</v>
      </c>
      <c r="BD9" s="237" t="s">
        <v>3</v>
      </c>
      <c r="BE9" s="238" t="s">
        <v>2</v>
      </c>
      <c r="BF9" s="239" t="s">
        <v>3</v>
      </c>
      <c r="BG9" s="237" t="s">
        <v>3</v>
      </c>
      <c r="BH9" s="237" t="s">
        <v>2</v>
      </c>
      <c r="BI9" s="238" t="s">
        <v>2</v>
      </c>
      <c r="BJ9" s="239" t="s">
        <v>2</v>
      </c>
      <c r="BK9" s="237" t="s">
        <v>3</v>
      </c>
      <c r="BL9" s="237" t="s">
        <v>3</v>
      </c>
      <c r="BM9" s="238" t="s">
        <v>3</v>
      </c>
      <c r="BN9" s="245" t="s">
        <v>3</v>
      </c>
      <c r="BO9" s="199"/>
      <c r="BP9" s="199"/>
      <c r="BQ9" s="199"/>
      <c r="BR9" s="199"/>
    </row>
    <row r="10" spans="1:70" s="3" customFormat="1" ht="65" customHeight="1" x14ac:dyDescent="0.2">
      <c r="A10" s="199"/>
      <c r="B10" s="236" t="s">
        <v>3</v>
      </c>
      <c r="C10" s="237" t="s">
        <v>2</v>
      </c>
      <c r="D10" s="238" t="s">
        <v>2</v>
      </c>
      <c r="E10" s="239" t="s">
        <v>2</v>
      </c>
      <c r="F10" s="237" t="s">
        <v>2</v>
      </c>
      <c r="G10" s="237" t="s">
        <v>3</v>
      </c>
      <c r="H10" s="238" t="s">
        <v>2</v>
      </c>
      <c r="I10" s="239" t="s">
        <v>3</v>
      </c>
      <c r="J10" s="237" t="s">
        <v>3</v>
      </c>
      <c r="K10" s="237" t="s">
        <v>2</v>
      </c>
      <c r="L10" s="238" t="s">
        <v>3</v>
      </c>
      <c r="M10" s="239" t="s">
        <v>2</v>
      </c>
      <c r="N10" s="237" t="s">
        <v>2</v>
      </c>
      <c r="O10" s="237" t="s">
        <v>2</v>
      </c>
      <c r="P10" s="238" t="s">
        <v>2</v>
      </c>
      <c r="Q10" s="239" t="s">
        <v>3</v>
      </c>
      <c r="R10" s="237" t="s">
        <v>2</v>
      </c>
      <c r="S10" s="237" t="s">
        <v>2</v>
      </c>
      <c r="T10" s="238" t="s">
        <v>2</v>
      </c>
      <c r="U10" s="239" t="s">
        <v>3</v>
      </c>
      <c r="V10" s="237" t="s">
        <v>2</v>
      </c>
      <c r="W10" s="237" t="s">
        <v>2</v>
      </c>
      <c r="X10" s="238" t="s">
        <v>2</v>
      </c>
      <c r="Y10" s="239" t="s">
        <v>3</v>
      </c>
      <c r="Z10" s="237" t="s">
        <v>3</v>
      </c>
      <c r="AA10" s="237" t="s">
        <v>2</v>
      </c>
      <c r="AB10" s="238" t="s">
        <v>2</v>
      </c>
      <c r="AC10" s="239" t="s">
        <v>2</v>
      </c>
      <c r="AD10" s="237" t="s">
        <v>2</v>
      </c>
      <c r="AE10" s="237" t="s">
        <v>2</v>
      </c>
      <c r="AF10" s="238" t="s">
        <v>2</v>
      </c>
      <c r="AG10" s="237" t="s">
        <v>2</v>
      </c>
      <c r="AH10" s="216"/>
      <c r="AI10" s="236" t="s">
        <v>2</v>
      </c>
      <c r="AJ10" s="237" t="s">
        <v>2</v>
      </c>
      <c r="AK10" s="238" t="s">
        <v>2</v>
      </c>
      <c r="AL10" s="239" t="s">
        <v>2</v>
      </c>
      <c r="AM10" s="237" t="s">
        <v>2</v>
      </c>
      <c r="AN10" s="237" t="s">
        <v>3</v>
      </c>
      <c r="AO10" s="238" t="s">
        <v>3</v>
      </c>
      <c r="AP10" s="239" t="s">
        <v>2</v>
      </c>
      <c r="AQ10" s="237" t="s">
        <v>3</v>
      </c>
      <c r="AR10" s="237" t="s">
        <v>2</v>
      </c>
      <c r="AS10" s="238" t="s">
        <v>2</v>
      </c>
      <c r="AT10" s="239" t="s">
        <v>2</v>
      </c>
      <c r="AU10" s="237" t="s">
        <v>3</v>
      </c>
      <c r="AV10" s="237" t="s">
        <v>2</v>
      </c>
      <c r="AW10" s="238" t="s">
        <v>2</v>
      </c>
      <c r="AX10" s="239" t="s">
        <v>2</v>
      </c>
      <c r="AY10" s="237" t="s">
        <v>3</v>
      </c>
      <c r="AZ10" s="237" t="s">
        <v>3</v>
      </c>
      <c r="BA10" s="238" t="s">
        <v>3</v>
      </c>
      <c r="BB10" s="239" t="s">
        <v>2</v>
      </c>
      <c r="BC10" s="237" t="s">
        <v>3</v>
      </c>
      <c r="BD10" s="237" t="s">
        <v>3</v>
      </c>
      <c r="BE10" s="238" t="s">
        <v>3</v>
      </c>
      <c r="BF10" s="239" t="s">
        <v>2</v>
      </c>
      <c r="BG10" s="237" t="s">
        <v>2</v>
      </c>
      <c r="BH10" s="237" t="s">
        <v>2</v>
      </c>
      <c r="BI10" s="238" t="s">
        <v>2</v>
      </c>
      <c r="BJ10" s="239" t="s">
        <v>2</v>
      </c>
      <c r="BK10" s="237" t="s">
        <v>3</v>
      </c>
      <c r="BL10" s="237" t="s">
        <v>3</v>
      </c>
      <c r="BM10" s="238" t="s">
        <v>3</v>
      </c>
      <c r="BN10" s="245" t="s">
        <v>3</v>
      </c>
      <c r="BO10" s="199"/>
      <c r="BP10" s="199"/>
      <c r="BQ10" s="199"/>
      <c r="BR10" s="199"/>
    </row>
    <row r="11" spans="1:70" s="3" customFormat="1" ht="65" customHeight="1" thickBot="1" x14ac:dyDescent="0.25">
      <c r="A11" s="199"/>
      <c r="B11" s="240" t="s">
        <v>2</v>
      </c>
      <c r="C11" s="241" t="s">
        <v>3</v>
      </c>
      <c r="D11" s="242" t="s">
        <v>2</v>
      </c>
      <c r="E11" s="243" t="s">
        <v>2</v>
      </c>
      <c r="F11" s="241" t="s">
        <v>3</v>
      </c>
      <c r="G11" s="241" t="s">
        <v>3</v>
      </c>
      <c r="H11" s="242" t="s">
        <v>3</v>
      </c>
      <c r="I11" s="243" t="s">
        <v>2</v>
      </c>
      <c r="J11" s="241" t="s">
        <v>3</v>
      </c>
      <c r="K11" s="241" t="s">
        <v>2</v>
      </c>
      <c r="L11" s="242" t="s">
        <v>3</v>
      </c>
      <c r="M11" s="243" t="s">
        <v>2</v>
      </c>
      <c r="N11" s="241" t="s">
        <v>2</v>
      </c>
      <c r="O11" s="241" t="s">
        <v>3</v>
      </c>
      <c r="P11" s="242" t="s">
        <v>3</v>
      </c>
      <c r="Q11" s="243" t="s">
        <v>3</v>
      </c>
      <c r="R11" s="241" t="s">
        <v>2</v>
      </c>
      <c r="S11" s="241" t="s">
        <v>2</v>
      </c>
      <c r="T11" s="242" t="s">
        <v>2</v>
      </c>
      <c r="U11" s="243" t="s">
        <v>3</v>
      </c>
      <c r="V11" s="241" t="s">
        <v>2</v>
      </c>
      <c r="W11" s="241" t="s">
        <v>2</v>
      </c>
      <c r="X11" s="242" t="s">
        <v>2</v>
      </c>
      <c r="Y11" s="243" t="s">
        <v>2</v>
      </c>
      <c r="Z11" s="241" t="s">
        <v>2</v>
      </c>
      <c r="AA11" s="241" t="s">
        <v>2</v>
      </c>
      <c r="AB11" s="242" t="s">
        <v>2</v>
      </c>
      <c r="AC11" s="243" t="s">
        <v>2</v>
      </c>
      <c r="AD11" s="241" t="s">
        <v>3</v>
      </c>
      <c r="AE11" s="241" t="s">
        <v>2</v>
      </c>
      <c r="AF11" s="242" t="s">
        <v>3</v>
      </c>
      <c r="AG11" s="241" t="s">
        <v>2</v>
      </c>
      <c r="AH11" s="216"/>
      <c r="AI11" s="240" t="s">
        <v>2</v>
      </c>
      <c r="AJ11" s="241" t="s">
        <v>2</v>
      </c>
      <c r="AK11" s="242" t="s">
        <v>2</v>
      </c>
      <c r="AL11" s="243" t="s">
        <v>2</v>
      </c>
      <c r="AM11" s="241" t="s">
        <v>3</v>
      </c>
      <c r="AN11" s="241" t="s">
        <v>3</v>
      </c>
      <c r="AO11" s="242" t="s">
        <v>3</v>
      </c>
      <c r="AP11" s="243" t="s">
        <v>2</v>
      </c>
      <c r="AQ11" s="241" t="s">
        <v>2</v>
      </c>
      <c r="AR11" s="241" t="s">
        <v>2</v>
      </c>
      <c r="AS11" s="242" t="s">
        <v>2</v>
      </c>
      <c r="AT11" s="243" t="s">
        <v>2</v>
      </c>
      <c r="AU11" s="241" t="s">
        <v>3</v>
      </c>
      <c r="AV11" s="241" t="s">
        <v>2</v>
      </c>
      <c r="AW11" s="242" t="s">
        <v>2</v>
      </c>
      <c r="AX11" s="243" t="s">
        <v>2</v>
      </c>
      <c r="AY11" s="241" t="s">
        <v>3</v>
      </c>
      <c r="AZ11" s="241" t="s">
        <v>3</v>
      </c>
      <c r="BA11" s="242" t="s">
        <v>3</v>
      </c>
      <c r="BB11" s="243" t="s">
        <v>2</v>
      </c>
      <c r="BC11" s="241" t="s">
        <v>2</v>
      </c>
      <c r="BD11" s="241" t="s">
        <v>3</v>
      </c>
      <c r="BE11" s="242" t="s">
        <v>3</v>
      </c>
      <c r="BF11" s="243" t="s">
        <v>2</v>
      </c>
      <c r="BG11" s="241" t="s">
        <v>2</v>
      </c>
      <c r="BH11" s="241" t="s">
        <v>2</v>
      </c>
      <c r="BI11" s="242" t="s">
        <v>2</v>
      </c>
      <c r="BJ11" s="243" t="s">
        <v>2</v>
      </c>
      <c r="BK11" s="241" t="s">
        <v>3</v>
      </c>
      <c r="BL11" s="241" t="s">
        <v>3</v>
      </c>
      <c r="BM11" s="242" t="s">
        <v>3</v>
      </c>
      <c r="BN11" s="246" t="s">
        <v>3</v>
      </c>
      <c r="BO11" s="199"/>
      <c r="BP11" s="199"/>
      <c r="BQ11" s="199"/>
      <c r="BR11" s="199"/>
    </row>
    <row r="12" spans="1:70" ht="17" thickBot="1" x14ac:dyDescent="0.25">
      <c r="A12" s="217" t="s">
        <v>102</v>
      </c>
      <c r="B12" s="267" t="str">
        <f>CONCATENATE(TEXT(IF(C6="X",4,0)+IF(C7="X",2,0)+IF(C8="X",1,0),0),TEXT(IF(C9="X",4,0)+IF(C10="X",2,0)+IF(C11="X",1,0),0),TEXT(IF(B6="X",4,0)+IF(B7="X",2,0)+IF(B8="X",1,0),0),TEXT(IF(B9="X",4,0)+IF(B10="X",2,0)+IF(B11="X",1,0),0))</f>
        <v>7126</v>
      </c>
      <c r="C12" s="264"/>
      <c r="D12" s="265" t="str">
        <f>CONCATENATE(TEXT(IF(E6="X",4,0)+IF(E7="X",2,0)+IF(E8="X",1,0),0),TEXT(IF(E9="X",4,0)+IF(E10="X",2,0)+IF(E11="X",1,0),0),TEXT(IF(D6="X",4,0)+IF(D7="X",2,0)+IF(D8="X",1,0),0),TEXT(IF(D9="X",4,0)+IF(D10="X",2,0)+IF(D11="X",1,0),0))</f>
        <v>1060</v>
      </c>
      <c r="E12" s="266"/>
      <c r="F12" s="264" t="str">
        <f>CONCATENATE(TEXT(IF(G6="X",4,0)+IF(G7="X",2,0)+IF(G8="X",1,0),0),TEXT(IF(G9="X",4,0)+IF(G10="X",2,0)+IF(G11="X",1,0),0),TEXT(IF(F6="X",4,0)+IF(F7="X",2,0)+IF(F8="X",1,0),0),TEXT(IF(F9="X",4,0)+IF(F10="X",2,0)+IF(F11="X",1,0),0))</f>
        <v>6751</v>
      </c>
      <c r="G12" s="264"/>
      <c r="H12" s="265" t="str">
        <f>CONCATENATE(TEXT(IF(I6="X",4,0)+IF(I7="X",2,0)+IF(I8="X",1,0),0),TEXT(IF(I9="X",4,0)+IF(I10="X",2,0)+IF(I11="X",1,0),0),TEXT(IF(H6="X",4,0)+IF(H7="X",2,0)+IF(H8="X",1,0),0),TEXT(IF(H9="X",4,0)+IF(H10="X",2,0)+IF(H11="X",1,0),0))</f>
        <v>7201</v>
      </c>
      <c r="I12" s="266"/>
      <c r="J12" s="264" t="str">
        <f>CONCATENATE(TEXT(IF(K6="X",4,0)+IF(K7="X",2,0)+IF(K8="X",1,0),0),TEXT(IF(K9="X",4,0)+IF(K10="X",2,0)+IF(K11="X",1,0),0),TEXT(IF(J6="X",4,0)+IF(J7="X",2,0)+IF(J8="X",1,0),0),TEXT(IF(J9="X",4,0)+IF(J10="X",2,0)+IF(J11="X",1,0),0))</f>
        <v>4053</v>
      </c>
      <c r="K12" s="264"/>
      <c r="L12" s="265" t="str">
        <f>CONCATENATE(TEXT(IF(M6="X",4,0)+IF(M7="X",2,0)+IF(M8="X",1,0),0),TEXT(IF(M9="X",4,0)+IF(M10="X",2,0)+IF(M11="X",1,0),0),TEXT(IF(L6="X",4,0)+IF(L7="X",2,0)+IF(L8="X",1,0),0),TEXT(IF(L9="X",4,0)+IF(L10="X",2,0)+IF(L11="X",1,0),0))</f>
        <v>4053</v>
      </c>
      <c r="M12" s="266"/>
      <c r="N12" s="264" t="str">
        <f>CONCATENATE(TEXT(IF(O6="X",4,0)+IF(O7="X",2,0)+IF(O8="X",1,0),0),TEXT(IF(O9="X",4,0)+IF(O10="X",2,0)+IF(O11="X",1,0),0),TEXT(IF(N6="X",4,0)+IF(N7="X",2,0)+IF(N8="X",1,0),0),TEXT(IF(N9="X",4,0)+IF(N10="X",2,0)+IF(N11="X",1,0),0))</f>
        <v>7104</v>
      </c>
      <c r="O12" s="264"/>
      <c r="P12" s="265" t="str">
        <f>CONCATENATE(TEXT(IF(Q6="X",4,0)+IF(Q7="X",2,0)+IF(Q8="X",1,0),0),TEXT(IF(Q9="X",4,0)+IF(Q10="X",2,0)+IF(Q11="X",1,0),0),TEXT(IF(P6="X",4,0)+IF(P7="X",2,0)+IF(P8="X",1,0),0),TEXT(IF(P9="X",4,0)+IF(P10="X",2,0)+IF(P11="X",1,0),0))</f>
        <v>6755</v>
      </c>
      <c r="Q12" s="266"/>
      <c r="R12" s="264" t="str">
        <f>CONCATENATE(TEXT(IF(S6="X",4,0)+IF(S7="X",2,0)+IF(S8="X",1,0),0),TEXT(IF(S9="X",4,0)+IF(S10="X",2,0)+IF(S11="X",1,0),0),TEXT(IF(R6="X",4,0)+IF(R7="X",2,0)+IF(R8="X",1,0),0),TEXT(IF(R9="X",4,0)+IF(R10="X",2,0)+IF(R11="X",1,0),0))</f>
        <v>5054</v>
      </c>
      <c r="S12" s="264"/>
      <c r="T12" s="265" t="str">
        <f>CONCATENATE(TEXT(IF(U6="X",4,0)+IF(U7="X",2,0)+IF(U8="X",1,0),0),TEXT(IF(U9="X",4,0)+IF(U10="X",2,0)+IF(U11="X",1,0),0),TEXT(IF(T6="X",4,0)+IF(T7="X",2,0)+IF(T8="X",1,0),0),TEXT(IF(T9="X",4,0)+IF(T10="X",2,0)+IF(T11="X",1,0),0))</f>
        <v>6754</v>
      </c>
      <c r="U12" s="266"/>
      <c r="V12" s="264" t="str">
        <f>CONCATENATE(TEXT(IF(W6="X",4,0)+IF(W7="X",2,0)+IF(W8="X",1,0),0),TEXT(IF(W9="X",4,0)+IF(W10="X",2,0)+IF(W11="X",1,0),0),TEXT(IF(V6="X",4,0)+IF(V7="X",2,0)+IF(V8="X",1,0),0),TEXT(IF(V9="X",4,0)+IF(V10="X",2,0)+IF(V11="X",1,0),0))</f>
        <v>7450</v>
      </c>
      <c r="W12" s="264"/>
      <c r="X12" s="265" t="str">
        <f>CONCATENATE(TEXT(IF(Y6="X",4,0)+IF(Y7="X",2,0)+IF(Y8="X",1,0),0),TEXT(IF(Y9="X",4,0)+IF(Y10="X",2,0)+IF(Y11="X",1,0),0),TEXT(IF(X6="X",4,0)+IF(X7="X",2,0)+IF(X8="X",1,0),0),TEXT(IF(X9="X",4,0)+IF(X10="X",2,0)+IF(X11="X",1,0),0))</f>
        <v>7610</v>
      </c>
      <c r="Y12" s="266"/>
      <c r="Z12" s="264" t="str">
        <f>CONCATENATE(TEXT(IF(AA6="X",4,0)+IF(AA7="X",2,0)+IF(AA8="X",1,0),0),TEXT(IF(AA9="X",4,0)+IF(AA10="X",2,0)+IF(AA11="X",1,0),0),TEXT(IF(Z6="X",4,0)+IF(Z7="X",2,0)+IF(Z8="X",1,0),0),TEXT(IF(Z9="X",4,0)+IF(Z10="X",2,0)+IF(Z11="X",1,0),0))</f>
        <v>5046</v>
      </c>
      <c r="AA12" s="264"/>
      <c r="AB12" s="265" t="str">
        <f>CONCATENATE(TEXT(IF(AC6="X",4,0)+IF(AC7="X",2,0)+IF(AC8="X",1,0),0),TEXT(IF(AC9="X",4,0)+IF(AC10="X",2,0)+IF(AC11="X",1,0),0),TEXT(IF(AB6="X",4,0)+IF(AB7="X",2,0)+IF(AB8="X",1,0),0),TEXT(IF(AB9="X",4,0)+IF(AB10="X",2,0)+IF(AB11="X",1,0),0))</f>
        <v>1060</v>
      </c>
      <c r="AC12" s="266"/>
      <c r="AD12" s="264" t="str">
        <f>CONCATENATE(TEXT(IF(AE6="X",4,0)+IF(AE7="X",2,0)+IF(AE8="X",1,0),0),TEXT(IF(AE9="X",4,0)+IF(AE10="X",2,0)+IF(AE11="X",1,0),0),TEXT(IF(AD6="X",4,0)+IF(AD7="X",2,0)+IF(AD8="X",1,0),0),TEXT(IF(AD9="X",4,0)+IF(AD10="X",2,0)+IF(AD11="X",1,0),0))</f>
        <v>7041</v>
      </c>
      <c r="AE12" s="264"/>
      <c r="AF12" s="265" t="str">
        <f>CONCATENATE(TEXT(IF(AG6="X",4,0)+IF(AG7="X",2,0)+IF(AG8="X",1,0),0),TEXT(IF(AG9="X",4,0)+IF(AG10="X",2,0)+IF(AG11="X",1,0),0),TEXT(IF(AF6="X",4,0)+IF(AF7="X",2,0)+IF(AF8="X",1,0),0),TEXT(IF(AF9="X",4,0)+IF(AF10="X",2,0)+IF(AF11="X",1,0),0))</f>
        <v>1061</v>
      </c>
      <c r="AG12" s="264"/>
      <c r="AH12" s="218"/>
      <c r="AI12" s="264" t="str">
        <f>CONCATENATE(TEXT(IF(AJ6="X",4,0)+IF(AJ7="X",2,0)+IF(AJ8="X",1,0),0),TEXT(IF(AJ9="X",4,0)+IF(AJ10="X",2,0)+IF(AJ11="X",1,0),0),TEXT(IF(AI6="X",4,0)+IF(AI7="X",2,0)+IF(AI8="X",1,0),0),TEXT(IF(AI9="X",4,0)+IF(AI10="X",2,0)+IF(AI11="X",1,0),0))</f>
        <v>3060</v>
      </c>
      <c r="AJ12" s="264"/>
      <c r="AK12" s="265" t="str">
        <f>CONCATENATE(TEXT(IF(AL6="X",4,0)+IF(AL7="X",2,0)+IF(AL8="X",1,0),0),TEXT(IF(AL9="X",4,0)+IF(AL10="X",2,0)+IF(AL11="X",1,0),0),TEXT(IF(AK6="X",4,0)+IF(AK7="X",2,0)+IF(AK8="X",1,0),0),TEXT(IF(AK9="X",4,0)+IF(AK10="X",2,0)+IF(AK11="X",1,0),0))</f>
        <v>5024</v>
      </c>
      <c r="AL12" s="266"/>
      <c r="AM12" s="264" t="str">
        <f>CONCATENATE(TEXT(IF(AN6="X",4,0)+IF(AN7="X",2,0)+IF(AN8="X",1,0),0),TEXT(IF(AN9="X",4,0)+IF(AN10="X",2,0)+IF(AN11="X",1,0),0),TEXT(IF(AM6="X",4,0)+IF(AM7="X",2,0)+IF(AM8="X",1,0),0),TEXT(IF(AM9="X",4,0)+IF(AM10="X",2,0)+IF(AM11="X",1,0),0))</f>
        <v>6751</v>
      </c>
      <c r="AN12" s="264"/>
      <c r="AO12" s="265" t="str">
        <f>CONCATENATE(TEXT(IF(AP6="X",4,0)+IF(AP7="X",2,0)+IF(AP8="X",1,0),0),TEXT(IF(AP9="X",4,0)+IF(AP10="X",2,0)+IF(AP11="X",1,0),0),TEXT(IF(AO6="X",4,0)+IF(AO7="X",2,0)+IF(AO8="X",1,0),0),TEXT(IF(AO9="X",4,0)+IF(AO10="X",2,0)+IF(AO11="X",1,0),0))</f>
        <v>4053</v>
      </c>
      <c r="AP12" s="266"/>
      <c r="AQ12" s="264" t="str">
        <f>CONCATENATE(TEXT(IF(AR6="X",4,0)+IF(AR7="X",2,0)+IF(AR8="X",1,0),0),TEXT(IF(AR9="X",4,0)+IF(AR10="X",2,0)+IF(AR11="X",1,0),0),TEXT(IF(AQ6="X",4,0)+IF(AQ7="X",2,0)+IF(AQ8="X",1,0),0),TEXT(IF(AQ9="X",4,0)+IF(AQ10="X",2,0)+IF(AQ11="X",1,0),0))</f>
        <v>3002</v>
      </c>
      <c r="AR12" s="264"/>
      <c r="AS12" s="265" t="str">
        <f>CONCATENATE(TEXT(IF(AT6="X",4,0)+IF(AT7="X",2,0)+IF(AT8="X",1,0),0),TEXT(IF(AT9="X",4,0)+IF(AT10="X",2,0)+IF(AT11="X",1,0),0),TEXT(IF(AS6="X",4,0)+IF(AS7="X",2,0)+IF(AS8="X",1,0),0),TEXT(IF(AS9="X",4,0)+IF(AS10="X",2,0)+IF(AS11="X",1,0),0))</f>
        <v>2050</v>
      </c>
      <c r="AT12" s="266"/>
      <c r="AU12" s="264" t="str">
        <f t="shared" ref="AU12" si="0">CONCATENATE(TEXT(IF(AV6="X",4,0)+IF(AV7="X",2,0)+IF(AV8="X",1,0),0),TEXT(IF(AV9="X",4,0)+IF(AV10="X",2,0)+IF(AV11="X",1,0),0),TEXT(IF(AU6="X",4,0)+IF(AU7="X",2,0)+IF(AU8="X",1,0),0),TEXT(IF(AU9="X",4,0)+IF(AU10="X",2,0)+IF(AU11="X",1,0),0))</f>
        <v>5047</v>
      </c>
      <c r="AV12" s="264"/>
      <c r="AW12" s="265" t="str">
        <f t="shared" ref="AW12" si="1">CONCATENATE(TEXT(IF(AX6="X",4,0)+IF(AX7="X",2,0)+IF(AX8="X",1,0),0),TEXT(IF(AX9="X",4,0)+IF(AX10="X",2,0)+IF(AX11="X",1,0),0),TEXT(IF(AW6="X",4,0)+IF(AW7="X",2,0)+IF(AW8="X",1,0),0),TEXT(IF(AW9="X",4,0)+IF(AW10="X",2,0)+IF(AW11="X",1,0),0))</f>
        <v>0000</v>
      </c>
      <c r="AX12" s="266"/>
      <c r="AY12" s="264" t="str">
        <f t="shared" ref="AY12" si="2">CONCATENATE(TEXT(IF(AZ6="X",4,0)+IF(AZ7="X",2,0)+IF(AZ8="X",1,0),0),TEXT(IF(AZ9="X",4,0)+IF(AZ10="X",2,0)+IF(AZ11="X",1,0),0),TEXT(IF(AY6="X",4,0)+IF(AY7="X",2,0)+IF(AY8="X",1,0),0),TEXT(IF(AY9="X",4,0)+IF(AY10="X",2,0)+IF(AY11="X",1,0),0))</f>
        <v>6753</v>
      </c>
      <c r="AZ12" s="264"/>
      <c r="BA12" s="265" t="str">
        <f t="shared" ref="BA12" si="3">CONCATENATE(TEXT(IF(BB6="X",4,0)+IF(BB7="X",2,0)+IF(BB8="X",1,0),0),TEXT(IF(BB9="X",4,0)+IF(BB10="X",2,0)+IF(BB11="X",1,0),0),TEXT(IF(BA6="X",4,0)+IF(BA7="X",2,0)+IF(BA8="X",1,0),0),TEXT(IF(BA9="X",4,0)+IF(BA10="X",2,0)+IF(BA11="X",1,0),0))</f>
        <v>5033</v>
      </c>
      <c r="BB12" s="266"/>
      <c r="BC12" s="264" t="str">
        <f t="shared" ref="BC12" si="4">CONCATENATE(TEXT(IF(BD6="X",4,0)+IF(BD7="X",2,0)+IF(BD8="X",1,0),0),TEXT(IF(BD9="X",4,0)+IF(BD10="X",2,0)+IF(BD11="X",1,0),0),TEXT(IF(BC6="X",4,0)+IF(BC7="X",2,0)+IF(BC8="X",1,0),0),TEXT(IF(BC9="X",4,0)+IF(BC10="X",2,0)+IF(BC11="X",1,0),0))</f>
        <v>6752</v>
      </c>
      <c r="BD12" s="264"/>
      <c r="BE12" s="265" t="str">
        <f t="shared" ref="BE12" si="5">CONCATENATE(TEXT(IF(BF6="X",4,0)+IF(BF7="X",2,0)+IF(BF8="X",1,0),0),TEXT(IF(BF9="X",4,0)+IF(BF10="X",2,0)+IF(BF11="X",1,0),0),TEXT(IF(BE6="X",4,0)+IF(BE7="X",2,0)+IF(BE8="X",1,0),0),TEXT(IF(BE9="X",4,0)+IF(BE10="X",2,0)+IF(BE11="X",1,0),0))</f>
        <v>5453</v>
      </c>
      <c r="BF12" s="266"/>
      <c r="BG12" s="264" t="str">
        <f t="shared" ref="BG12" si="6">CONCATENATE(TEXT(IF(BH6="X",4,0)+IF(BH7="X",2,0)+IF(BH8="X",1,0),0),TEXT(IF(BH9="X",4,0)+IF(BH10="X",2,0)+IF(BH11="X",1,0),0),TEXT(IF(BG6="X",4,0)+IF(BG7="X",2,0)+IF(BG8="X",1,0),0),TEXT(IF(BG9="X",4,0)+IF(BG10="X",2,0)+IF(BG11="X",1,0),0))</f>
        <v>7024</v>
      </c>
      <c r="BH12" s="264"/>
      <c r="BI12" s="265" t="str">
        <f t="shared" ref="BI12" si="7">CONCATENATE(TEXT(IF(BJ6="X",4,0)+IF(BJ7="X",2,0)+IF(BJ8="X",1,0),0),TEXT(IF(BJ9="X",4,0)+IF(BJ10="X",2,0)+IF(BJ11="X",1,0),0),TEXT(IF(BI6="X",4,0)+IF(BI7="X",2,0)+IF(BI8="X",1,0),0),TEXT(IF(BI9="X",4,0)+IF(BI10="X",2,0)+IF(BI11="X",1,0),0))</f>
        <v>6030</v>
      </c>
      <c r="BJ12" s="266"/>
      <c r="BK12" s="264" t="str">
        <f t="shared" ref="BK12" si="8">CONCATENATE(TEXT(IF(BL6="X",4,0)+IF(BL7="X",2,0)+IF(BL8="X",1,0),0),TEXT(IF(BL9="X",4,0)+IF(BL10="X",2,0)+IF(BL11="X",1,0),0),TEXT(IF(BK6="X",4,0)+IF(BK7="X",2,0)+IF(BK8="X",1,0),0),TEXT(IF(BK9="X",4,0)+IF(BK10="X",2,0)+IF(BK11="X",1,0),0))</f>
        <v>7777</v>
      </c>
      <c r="BL12" s="264"/>
      <c r="BM12" s="265" t="str">
        <f t="shared" ref="BM12" si="9">CONCATENATE(TEXT(IF(BN6="X",4,0)+IF(BN7="X",2,0)+IF(BN8="X",1,0),0),TEXT(IF(BN9="X",4,0)+IF(BN10="X",2,0)+IF(BN11="X",1,0),0),TEXT(IF(BM6="X",4,0)+IF(BM7="X",2,0)+IF(BM8="X",1,0),0),TEXT(IF(BM9="X",4,0)+IF(BM10="X",2,0)+IF(BM11="X",1,0),0))</f>
        <v>7777</v>
      </c>
      <c r="BN12" s="268"/>
      <c r="BO12" s="108"/>
      <c r="BP12" s="211" t="s">
        <v>6</v>
      </c>
      <c r="BQ12" s="212">
        <f>COUNTIF($B$6:$BN$11,"X")</f>
        <v>185</v>
      </c>
      <c r="BR12" s="108"/>
    </row>
    <row r="13" spans="1:70" ht="17" thickBot="1" x14ac:dyDescent="0.25">
      <c r="A13" s="108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108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108"/>
      <c r="BP13" s="211" t="s">
        <v>7</v>
      </c>
      <c r="BQ13" s="212">
        <f>COUNTIF($B$6:$BN$11,"O")</f>
        <v>199</v>
      </c>
      <c r="BR13" s="108"/>
    </row>
    <row r="14" spans="1:70" ht="17" thickTop="1" x14ac:dyDescent="0.2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93"/>
      <c r="AA14" s="40" t="s">
        <v>4</v>
      </c>
      <c r="AB14" s="41"/>
      <c r="AC14" s="41"/>
      <c r="AD14" s="41"/>
      <c r="AE14" s="42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201"/>
      <c r="AS14" s="194"/>
      <c r="AT14" s="194"/>
      <c r="AU14" s="194"/>
      <c r="AV14" s="194"/>
      <c r="AW14" s="194"/>
      <c r="AX14" s="194"/>
      <c r="AY14" s="194"/>
      <c r="AZ14" s="194"/>
      <c r="BA14" s="194"/>
      <c r="BB14" s="195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</row>
    <row r="15" spans="1:70" ht="17" thickBot="1" x14ac:dyDescent="0.25">
      <c r="A15" s="109"/>
      <c r="B15" s="109"/>
      <c r="C15" s="109"/>
      <c r="D15" s="109"/>
      <c r="E15" s="109"/>
      <c r="F15" s="109"/>
      <c r="G15" s="109"/>
      <c r="H15" s="109"/>
      <c r="I15" s="109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202"/>
      <c r="AA15" s="47" t="s">
        <v>5</v>
      </c>
      <c r="AB15" s="48"/>
      <c r="AC15" s="48"/>
      <c r="AD15" s="48"/>
      <c r="AE15" s="49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203"/>
      <c r="AS15" s="110"/>
      <c r="AT15" s="110"/>
      <c r="AU15" s="110"/>
      <c r="AV15" s="110"/>
      <c r="AW15" s="110"/>
      <c r="AX15" s="110"/>
      <c r="AY15" s="110"/>
      <c r="AZ15" s="110"/>
      <c r="BA15" s="110"/>
      <c r="BB15" s="204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</row>
    <row r="16" spans="1:70" ht="18" thickTop="1" thickBot="1" x14ac:dyDescent="0.25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202"/>
      <c r="AA16" s="200"/>
      <c r="AB16" s="200"/>
      <c r="AC16" s="200"/>
      <c r="AD16" s="200" t="s">
        <v>33</v>
      </c>
      <c r="AE16" s="200" t="s">
        <v>34</v>
      </c>
      <c r="AF16" s="200" t="s">
        <v>32</v>
      </c>
      <c r="AG16" s="200" t="s">
        <v>31</v>
      </c>
      <c r="AH16" s="200"/>
      <c r="AI16" s="200" t="s">
        <v>10</v>
      </c>
      <c r="AJ16" s="200" t="s">
        <v>11</v>
      </c>
      <c r="AK16" s="200" t="s">
        <v>12</v>
      </c>
      <c r="AL16" s="200" t="s">
        <v>13</v>
      </c>
      <c r="AM16" s="200" t="s">
        <v>14</v>
      </c>
      <c r="AN16" s="200" t="s">
        <v>15</v>
      </c>
      <c r="AO16" s="200" t="s">
        <v>9</v>
      </c>
      <c r="AP16" s="200" t="s">
        <v>8</v>
      </c>
      <c r="AQ16" s="110"/>
      <c r="AR16" s="203"/>
      <c r="AS16" s="110" t="s">
        <v>101</v>
      </c>
      <c r="AT16" s="110"/>
      <c r="AU16" s="110"/>
      <c r="AV16" s="110"/>
      <c r="AW16" s="110"/>
      <c r="AX16" s="110"/>
      <c r="AY16" s="110"/>
      <c r="AZ16" s="110"/>
      <c r="BA16" s="110"/>
      <c r="BB16" s="204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</row>
    <row r="17" spans="1:70" ht="17" thickBot="1" x14ac:dyDescent="0.25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202"/>
      <c r="AA17" s="205"/>
      <c r="AB17" s="205"/>
      <c r="AC17" s="205"/>
      <c r="AD17" s="251" t="s">
        <v>2</v>
      </c>
      <c r="AE17" s="247" t="s">
        <v>2</v>
      </c>
      <c r="AF17" s="248" t="s">
        <v>3</v>
      </c>
      <c r="AG17" s="249" t="s">
        <v>2</v>
      </c>
      <c r="AH17" s="200"/>
      <c r="AI17" s="247" t="s">
        <v>3</v>
      </c>
      <c r="AJ17" s="248" t="s">
        <v>2</v>
      </c>
      <c r="AK17" s="249" t="s">
        <v>2</v>
      </c>
      <c r="AL17" s="247" t="s">
        <v>2</v>
      </c>
      <c r="AM17" s="250" t="s">
        <v>2</v>
      </c>
      <c r="AN17" s="251" t="s">
        <v>2</v>
      </c>
      <c r="AO17" s="247" t="s">
        <v>2</v>
      </c>
      <c r="AP17" s="248" t="s">
        <v>2</v>
      </c>
      <c r="AQ17" s="200"/>
      <c r="AR17" s="203"/>
      <c r="AS17" s="257" t="s">
        <v>37</v>
      </c>
      <c r="AT17" s="258"/>
      <c r="AU17" s="258"/>
      <c r="AV17" s="259"/>
      <c r="AW17" s="260" t="str">
        <f>CONCATENATE(TEXT(1*IF(AN17="X",1,0)+2*IF(AO17="X",1,0)+4*IF(AP17="X",1,0),0),TEXT(1*IF(AK17="X",1,0)+2*IF(AL17="X",1,0)+4*IF(AM17="X",1,0),0),TEXT(1*IF(AG17="X",1,0)+2*IF(AI17="X",1,0)+4*IF(AJ17="X",1,0),0),TEXT(1*IF(AD17="X",1,0)+2*IF(AE17="X",1,0)+4*IF(AF17="X",1,0),0))</f>
        <v>0024</v>
      </c>
      <c r="AX17" s="261"/>
      <c r="AY17" s="262"/>
      <c r="AZ17" s="206" t="s">
        <v>35</v>
      </c>
      <c r="BA17" s="110"/>
      <c r="BB17" s="204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213" t="s">
        <v>6</v>
      </c>
      <c r="BQ17" s="214">
        <f>COUNTIF($AA$17:$AP$18,"X")</f>
        <v>6</v>
      </c>
      <c r="BR17" s="108"/>
    </row>
    <row r="18" spans="1:70" ht="17" thickBot="1" x14ac:dyDescent="0.2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202"/>
      <c r="AA18" s="247" t="s">
        <v>2</v>
      </c>
      <c r="AB18" s="247" t="s">
        <v>2</v>
      </c>
      <c r="AC18" s="250" t="s">
        <v>2</v>
      </c>
      <c r="AD18" s="251" t="s">
        <v>3</v>
      </c>
      <c r="AE18" s="247" t="s">
        <v>3</v>
      </c>
      <c r="AF18" s="248" t="s">
        <v>2</v>
      </c>
      <c r="AG18" s="249" t="s">
        <v>3</v>
      </c>
      <c r="AH18" s="200"/>
      <c r="AI18" s="247" t="s">
        <v>3</v>
      </c>
      <c r="AJ18" s="248" t="s">
        <v>2</v>
      </c>
      <c r="AK18" s="249" t="s">
        <v>2</v>
      </c>
      <c r="AL18" s="247" t="s">
        <v>2</v>
      </c>
      <c r="AM18" s="250" t="s">
        <v>2</v>
      </c>
      <c r="AN18" s="251" t="s">
        <v>2</v>
      </c>
      <c r="AO18" s="247" t="s">
        <v>2</v>
      </c>
      <c r="AP18" s="248" t="s">
        <v>2</v>
      </c>
      <c r="AQ18" s="200"/>
      <c r="AR18" s="203"/>
      <c r="AS18" s="257" t="s">
        <v>36</v>
      </c>
      <c r="AT18" s="258"/>
      <c r="AU18" s="258"/>
      <c r="AV18" s="259"/>
      <c r="AW18" s="260" t="str">
        <f>CONCATENATE(TEXT(1*IF(AN18="X",1,0)+2*IF(AO18="X",1,0)+4*IF(AP18="X",1,0),0),TEXT(1*IF(AK18="X",1,0)+2*IF(AL18="X",1,0)+4*IF(AM18="X",1,0),0),TEXT(1*IF(AG18="X",1,0)+2*IF(AI18="X",1,0)+4*IF(AJ18="X",1,0),0),TEXT(1*IF(AD18="X",1,0)+2*IF(AE18="X",1,0)+4*IF(AF18="X",1,0),0))</f>
        <v>0033</v>
      </c>
      <c r="AX18" s="261"/>
      <c r="AY18" s="262"/>
      <c r="AZ18" s="206" t="s">
        <v>38</v>
      </c>
      <c r="BA18" s="110"/>
      <c r="BB18" s="204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213" t="s">
        <v>7</v>
      </c>
      <c r="BQ18" s="214">
        <f>COUNTIF($AA$17:$AP$18,"O")</f>
        <v>21</v>
      </c>
      <c r="BR18" s="108"/>
    </row>
    <row r="19" spans="1:70" ht="17" thickBot="1" x14ac:dyDescent="0.2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02"/>
      <c r="AA19" s="200" t="s">
        <v>30</v>
      </c>
      <c r="AB19" s="200" t="s">
        <v>29</v>
      </c>
      <c r="AC19" s="200" t="s">
        <v>28</v>
      </c>
      <c r="AD19" s="200" t="s">
        <v>26</v>
      </c>
      <c r="AE19" s="200" t="s">
        <v>27</v>
      </c>
      <c r="AF19" s="200" t="s">
        <v>25</v>
      </c>
      <c r="AG19" s="200" t="s">
        <v>24</v>
      </c>
      <c r="AH19" s="200"/>
      <c r="AI19" s="200" t="s">
        <v>18</v>
      </c>
      <c r="AJ19" s="200" t="s">
        <v>19</v>
      </c>
      <c r="AK19" s="200" t="s">
        <v>20</v>
      </c>
      <c r="AL19" s="200" t="s">
        <v>21</v>
      </c>
      <c r="AM19" s="200" t="s">
        <v>22</v>
      </c>
      <c r="AN19" s="200" t="s">
        <v>23</v>
      </c>
      <c r="AO19" s="200" t="s">
        <v>17</v>
      </c>
      <c r="AP19" s="200" t="s">
        <v>16</v>
      </c>
      <c r="AQ19" s="200"/>
      <c r="AR19" s="203"/>
      <c r="AS19" s="257" t="s">
        <v>729</v>
      </c>
      <c r="AT19" s="258"/>
      <c r="AU19" s="258"/>
      <c r="AV19" s="259"/>
      <c r="AW19" s="260" t="str">
        <f>CONCATENATE(TEXT(1*IF(AC18="X",1,0)+2*IF(AB18="X",1,0)+4*IF(AA18="X",1,0),0))</f>
        <v>0</v>
      </c>
      <c r="AX19" s="261"/>
      <c r="AY19" s="262"/>
      <c r="AZ19" s="110" t="s">
        <v>39</v>
      </c>
      <c r="BA19" s="110"/>
      <c r="BB19" s="204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</row>
    <row r="20" spans="1:70" x14ac:dyDescent="0.2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02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203"/>
      <c r="AS20" s="110"/>
      <c r="AT20" s="110"/>
      <c r="AU20" s="110"/>
      <c r="AV20" s="110"/>
      <c r="AW20" s="110"/>
      <c r="AX20" s="110"/>
      <c r="AY20" s="110"/>
      <c r="AZ20" s="110"/>
      <c r="BA20" s="110"/>
      <c r="BB20" s="204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</row>
    <row r="21" spans="1:70" s="2" customFormat="1" ht="17" thickBot="1" x14ac:dyDescent="0.25">
      <c r="A21" s="108"/>
      <c r="B21" s="108"/>
      <c r="C21" s="108"/>
      <c r="D21" s="108"/>
      <c r="E21" s="108"/>
      <c r="F21" s="108"/>
      <c r="G21" s="108"/>
      <c r="H21" s="108"/>
      <c r="I21" s="108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207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9"/>
      <c r="AS21" s="208"/>
      <c r="AT21" s="208"/>
      <c r="AU21" s="208"/>
      <c r="AV21" s="208"/>
      <c r="AW21" s="208"/>
      <c r="AX21" s="208"/>
      <c r="AY21" s="208"/>
      <c r="AZ21" s="208"/>
      <c r="BA21" s="208"/>
      <c r="BB21" s="210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</row>
    <row r="22" spans="1:70" ht="17" thickTop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</row>
  </sheetData>
  <sheetProtection sheet="1" objects="1" scenarios="1"/>
  <mergeCells count="70">
    <mergeCell ref="BE12:BF12"/>
    <mergeCell ref="BG12:BH12"/>
    <mergeCell ref="BI12:BJ12"/>
    <mergeCell ref="BK12:BL12"/>
    <mergeCell ref="BM12:BN12"/>
    <mergeCell ref="AW12:AX12"/>
    <mergeCell ref="Z12:AA12"/>
    <mergeCell ref="AB12:AC12"/>
    <mergeCell ref="AD12:AE12"/>
    <mergeCell ref="AF12:AG12"/>
    <mergeCell ref="AI12:AJ12"/>
    <mergeCell ref="AK12:AL12"/>
    <mergeCell ref="AM12:AN12"/>
    <mergeCell ref="AO12:AP12"/>
    <mergeCell ref="AQ12:AR12"/>
    <mergeCell ref="AS12:AT12"/>
    <mergeCell ref="AU12:AV12"/>
    <mergeCell ref="X12:Y12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AS19:AV19"/>
    <mergeCell ref="AW19:AY19"/>
    <mergeCell ref="BK5:BL5"/>
    <mergeCell ref="BM5:BN5"/>
    <mergeCell ref="AS17:AV17"/>
    <mergeCell ref="AW17:AY17"/>
    <mergeCell ref="AS18:AV18"/>
    <mergeCell ref="AW18:AY18"/>
    <mergeCell ref="AY12:AZ12"/>
    <mergeCell ref="BA12:BB12"/>
    <mergeCell ref="BC12:BD12"/>
    <mergeCell ref="AY5:AZ5"/>
    <mergeCell ref="BA5:BB5"/>
    <mergeCell ref="BC5:BD5"/>
    <mergeCell ref="BE5:BF5"/>
    <mergeCell ref="BG5:BH5"/>
    <mergeCell ref="BI5:BJ5"/>
    <mergeCell ref="AM5:AN5"/>
    <mergeCell ref="AO5:AP5"/>
    <mergeCell ref="AQ5:AR5"/>
    <mergeCell ref="AS5:AT5"/>
    <mergeCell ref="AU5:AV5"/>
    <mergeCell ref="AW5:AX5"/>
    <mergeCell ref="AK5:AL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I5:AJ5"/>
    <mergeCell ref="L5:M5"/>
    <mergeCell ref="B5:C5"/>
    <mergeCell ref="D5:E5"/>
    <mergeCell ref="F5:G5"/>
    <mergeCell ref="H5:I5"/>
    <mergeCell ref="J5:K5"/>
  </mergeCells>
  <conditionalFormatting sqref="B6:BN11">
    <cfRule type="containsText" dxfId="3" priority="2" stopIfTrue="1" operator="containsText" text="X">
      <formula>NOT(ISERROR(SEARCH("X",B6)))</formula>
    </cfRule>
    <cfRule type="containsText" dxfId="2" priority="4" stopIfTrue="1" operator="containsText" text="O">
      <formula>NOT(ISERROR(SEARCH("O",B6)))</formula>
    </cfRule>
  </conditionalFormatting>
  <conditionalFormatting sqref="AA17:AP18">
    <cfRule type="containsText" dxfId="1" priority="1" operator="containsText" text="X">
      <formula>NOT(ISERROR(SEARCH("X",AA17)))</formula>
    </cfRule>
    <cfRule type="containsText" dxfId="0" priority="3" operator="containsText" text="O">
      <formula>NOT(ISERROR(SEARCH("O",AA17)))</formula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workbookViewId="0">
      <selection activeCell="D20" sqref="D20"/>
    </sheetView>
  </sheetViews>
  <sheetFormatPr baseColWidth="10" defaultRowHeight="16" x14ac:dyDescent="0.2"/>
  <cols>
    <col min="1" max="1" width="3.33203125" customWidth="1"/>
    <col min="2" max="2" width="4" style="2" customWidth="1"/>
    <col min="3" max="3" width="9.33203125" customWidth="1"/>
    <col min="4" max="4" width="37.5" customWidth="1"/>
    <col min="5" max="6" width="5" customWidth="1"/>
    <col min="7" max="7" width="10" bestFit="1" customWidth="1"/>
    <col min="8" max="8" width="30.6640625" bestFit="1" customWidth="1"/>
    <col min="9" max="9" width="4.5" customWidth="1"/>
    <col min="10" max="10" width="3.83203125" customWidth="1"/>
    <col min="11" max="11" width="3.1640625" bestFit="1" customWidth="1"/>
    <col min="12" max="12" width="9.6640625" style="2" customWidth="1"/>
    <col min="13" max="13" width="8" customWidth="1"/>
    <col min="14" max="14" width="36.1640625" style="5" customWidth="1"/>
    <col min="15" max="15" width="7.1640625" customWidth="1"/>
    <col min="16" max="16" width="3.1640625" bestFit="1" customWidth="1"/>
    <col min="17" max="17" width="9.6640625" customWidth="1"/>
    <col min="18" max="18" width="8" customWidth="1"/>
    <col min="19" max="19" width="35.6640625" bestFit="1" customWidth="1"/>
    <col min="20" max="20" width="5.1640625" customWidth="1"/>
    <col min="21" max="21" width="3.1640625" bestFit="1" customWidth="1"/>
    <col min="22" max="22" width="9.6640625" customWidth="1"/>
    <col min="23" max="23" width="8" customWidth="1"/>
    <col min="24" max="24" width="35.6640625" bestFit="1" customWidth="1"/>
    <col min="25" max="25" width="5.1640625" customWidth="1"/>
    <col min="26" max="26" width="3.1640625" bestFit="1" customWidth="1"/>
    <col min="27" max="27" width="9.6640625" customWidth="1"/>
    <col min="28" max="28" width="8" customWidth="1"/>
    <col min="29" max="29" width="35.6640625" bestFit="1" customWidth="1"/>
    <col min="30" max="30" width="5.1640625" customWidth="1"/>
    <col min="31" max="31" width="3.1640625" bestFit="1" customWidth="1"/>
    <col min="32" max="32" width="9.6640625" customWidth="1"/>
    <col min="33" max="33" width="8" customWidth="1"/>
    <col min="34" max="34" width="35.6640625" bestFit="1" customWidth="1"/>
    <col min="35" max="35" width="5.1640625" customWidth="1"/>
    <col min="36" max="36" width="3.1640625" bestFit="1" customWidth="1"/>
    <col min="37" max="37" width="9.6640625" customWidth="1"/>
    <col min="38" max="38" width="8" customWidth="1"/>
    <col min="39" max="39" width="35.6640625" bestFit="1" customWidth="1"/>
    <col min="40" max="40" width="5.1640625" customWidth="1"/>
    <col min="41" max="41" width="3.1640625" bestFit="1" customWidth="1"/>
    <col min="42" max="42" width="9.6640625" customWidth="1"/>
    <col min="43" max="43" width="8" customWidth="1"/>
    <col min="44" max="44" width="35.6640625" bestFit="1" customWidth="1"/>
    <col min="45" max="45" width="5.1640625" customWidth="1"/>
    <col min="46" max="46" width="3.1640625" bestFit="1" customWidth="1"/>
    <col min="47" max="47" width="9.6640625" customWidth="1"/>
    <col min="48" max="48" width="8" customWidth="1"/>
    <col min="49" max="49" width="35.6640625" bestFit="1" customWidth="1"/>
  </cols>
  <sheetData>
    <row r="1" spans="1:16" ht="18" thickTop="1" thickBot="1" x14ac:dyDescent="0.25">
      <c r="A1" s="40"/>
      <c r="B1" s="50"/>
      <c r="C1" s="41"/>
      <c r="D1" s="41"/>
      <c r="E1" s="42"/>
      <c r="F1" s="40"/>
      <c r="G1" s="41"/>
      <c r="H1" s="41"/>
      <c r="I1" s="42"/>
      <c r="J1" s="8"/>
      <c r="K1" s="8"/>
      <c r="L1" s="9"/>
      <c r="M1" s="8"/>
      <c r="N1" s="10"/>
      <c r="O1" s="8"/>
      <c r="P1" s="8"/>
    </row>
    <row r="2" spans="1:16" ht="17" thickBot="1" x14ac:dyDescent="0.25">
      <c r="A2" s="43"/>
      <c r="B2" s="269" t="s">
        <v>756</v>
      </c>
      <c r="C2" s="261"/>
      <c r="D2" s="262"/>
      <c r="E2" s="51"/>
      <c r="F2" s="43"/>
      <c r="G2" s="269" t="s">
        <v>755</v>
      </c>
      <c r="H2" s="270"/>
      <c r="I2" s="44"/>
      <c r="J2" s="8"/>
      <c r="K2" s="8"/>
      <c r="L2" s="9"/>
      <c r="M2" s="8"/>
      <c r="N2" s="10"/>
      <c r="O2" s="8"/>
      <c r="P2" s="8"/>
    </row>
    <row r="3" spans="1:16" ht="17" thickBot="1" x14ac:dyDescent="0.25">
      <c r="A3" s="43"/>
      <c r="B3" s="34">
        <v>1</v>
      </c>
      <c r="C3" s="189" t="s">
        <v>726</v>
      </c>
      <c r="D3" s="53" t="str">
        <f>IF(LEN(C3)&lt;1,"",VLOOKUP(C3,Installed!$G$4:$H$38,2,0))</f>
        <v>RX02 Floppy Disk Subsystem</v>
      </c>
      <c r="E3" s="51"/>
      <c r="F3" s="43"/>
      <c r="G3" s="32" t="s">
        <v>747</v>
      </c>
      <c r="H3" s="33" t="s">
        <v>748</v>
      </c>
      <c r="I3" s="45"/>
      <c r="J3" s="8"/>
      <c r="K3" s="8"/>
      <c r="L3" s="11" t="s">
        <v>750</v>
      </c>
      <c r="M3" s="12" t="str">
        <f>$C$3</f>
        <v>RX28</v>
      </c>
      <c r="N3" s="13" t="str">
        <f>$D$3</f>
        <v>RX02 Floppy Disk Subsystem</v>
      </c>
      <c r="O3" s="8"/>
      <c r="P3" s="8"/>
    </row>
    <row r="4" spans="1:16" ht="17" thickBot="1" x14ac:dyDescent="0.25">
      <c r="A4" s="43"/>
      <c r="B4" s="36">
        <v>2</v>
      </c>
      <c r="C4" s="190" t="s">
        <v>104</v>
      </c>
      <c r="D4" s="54" t="str">
        <f>IF(LEN(C4)&lt;1,"",VLOOKUP(C4,Installed!$G$4:$H$38,2,0))</f>
        <v>Memory Extension &amp; Timeshare</v>
      </c>
      <c r="E4" s="51"/>
      <c r="F4" s="43"/>
      <c r="G4" s="34" t="s">
        <v>598</v>
      </c>
      <c r="H4" s="35" t="str">
        <f>VLOOKUP(G4,PDP8E!$J$5:$M$385,2,0)</f>
        <v>Digital-to-Analog Conversion System</v>
      </c>
      <c r="I4" s="46"/>
      <c r="J4" s="8"/>
      <c r="K4" s="8"/>
      <c r="L4" s="9"/>
      <c r="M4" s="9"/>
      <c r="N4" s="9"/>
      <c r="O4" s="8"/>
      <c r="P4" s="8"/>
    </row>
    <row r="5" spans="1:16" ht="17" thickBot="1" x14ac:dyDescent="0.25">
      <c r="A5" s="43"/>
      <c r="B5" s="36">
        <v>3</v>
      </c>
      <c r="C5" s="190" t="s">
        <v>319</v>
      </c>
      <c r="D5" s="54" t="str">
        <f>IF(LEN(C5)&lt;1,"",VLOOKUP(C5,Installed!$G$4:$H$38,2,0))</f>
        <v>Asynchronous Data Control</v>
      </c>
      <c r="E5" s="51"/>
      <c r="F5" s="43"/>
      <c r="G5" s="36" t="s">
        <v>557</v>
      </c>
      <c r="H5" s="37" t="str">
        <f>VLOOKUP(G5,PDP8E!$J$5:$M$385,2,0)</f>
        <v>10 (or 11)-Bit A/D Converter</v>
      </c>
      <c r="I5" s="46"/>
      <c r="J5" s="8"/>
      <c r="K5" s="14"/>
      <c r="L5" s="15" t="s">
        <v>751</v>
      </c>
      <c r="M5" s="16" t="s">
        <v>752</v>
      </c>
      <c r="N5" s="17" t="s">
        <v>82</v>
      </c>
      <c r="O5" s="18"/>
      <c r="P5" s="8"/>
    </row>
    <row r="6" spans="1:16" x14ac:dyDescent="0.2">
      <c r="A6" s="43"/>
      <c r="B6" s="36">
        <v>4</v>
      </c>
      <c r="C6" s="190" t="s">
        <v>166</v>
      </c>
      <c r="D6" s="54" t="str">
        <f>IF(LEN(C6)&lt;1,"",VLOOKUP(C6,Installed!$G$4:$H$38,2,0))</f>
        <v>Power Fail Detect</v>
      </c>
      <c r="E6" s="51"/>
      <c r="F6" s="43"/>
      <c r="G6" s="36" t="s">
        <v>394</v>
      </c>
      <c r="H6" s="37" t="str">
        <f>VLOOKUP(G6,PDP8E!$J$5:$M$385,2,0)</f>
        <v>Analog-to-Digital Converter</v>
      </c>
      <c r="I6" s="46"/>
      <c r="J6" s="8"/>
      <c r="K6" s="19">
        <v>1</v>
      </c>
      <c r="L6" s="20">
        <f>IF(ISNA(VLOOKUP(CONCATENATE(M$3,$K6),PDP8E!$H$5:$M$385,2,0)),"",VLOOKUP(CONCATENATE(M$3,$K6),PDP8E!$H$5:$M$385,2,0))</f>
        <v>6750</v>
      </c>
      <c r="M6" s="21" t="str">
        <f>IF(ISNA(VLOOKUP(CONCATENATE(M$3,$K6),PDP8E!$H$5:$M$385,5,0)),"",IF(LEN(VLOOKUP(CONCATENATE(M$3,$K6),PDP8E!$H$5:$M$385,5,0))&lt;1,"",VLOOKUP(CONCATENATE(M$3,$K6),PDP8E!$H$5:$M$385,5,0)))</f>
        <v/>
      </c>
      <c r="N6" s="22" t="str">
        <f>IF(ISNA(VLOOKUP(CONCATENATE(M$3,$K6),PDP8E!$H$5:$M$385,6,0)),"",IF(LEN(VLOOKUP(CONCATENATE(M$3,$K6),PDP8E!$H$5:$M$385,6,0))&lt;1,"",VLOOKUP(CONCATENATE(M$3,$K6),PDP8E!$H$5:$M$385,6,0)))</f>
        <v>No Operation</v>
      </c>
      <c r="O6" s="23" t="str">
        <f t="shared" ref="O6:O29" si="0">IF(LEN(L6)&lt;1,"",$M$3)</f>
        <v>RX28</v>
      </c>
      <c r="P6" s="8"/>
    </row>
    <row r="7" spans="1:16" x14ac:dyDescent="0.2">
      <c r="A7" s="43"/>
      <c r="B7" s="36">
        <v>5</v>
      </c>
      <c r="C7" s="190" t="s">
        <v>170</v>
      </c>
      <c r="D7" s="54" t="str">
        <f>IF(LEN(C7)&lt;1,"",VLOOKUP(C7,Installed!$G$4:$H$38,2,0))</f>
        <v>LA30 DECWriter Control</v>
      </c>
      <c r="E7" s="51"/>
      <c r="F7" s="43"/>
      <c r="G7" s="36" t="s">
        <v>582</v>
      </c>
      <c r="H7" s="37" t="str">
        <f>VLOOKUP(G7,PDP8E!$J$5:$M$385,2,0)</f>
        <v>Guarded Scanning Integrating DVM</v>
      </c>
      <c r="I7" s="46"/>
      <c r="J7" s="8"/>
      <c r="K7" s="24">
        <v>2</v>
      </c>
      <c r="L7" s="20">
        <f>IF(ISNA(VLOOKUP(CONCATENATE(M$3,$K7),PDP8E!$H$5:$M$385,2,0)),"",VLOOKUP(CONCATENATE(M$3,$K7),PDP8E!$H$5:$M$385,2,0))</f>
        <v>6751</v>
      </c>
      <c r="M7" s="21" t="str">
        <f>IF(ISNA(VLOOKUP(CONCATENATE(M$3,$K7),PDP8E!$H$5:$M$385,5,0)),"",IF(LEN(VLOOKUP(CONCATENATE(M$3,$K7),PDP8E!$H$5:$M$385,5,0))&lt;1,"",VLOOKUP(CONCATENATE(M$3,$K7),PDP8E!$H$5:$M$385,5,0)))</f>
        <v>LCD</v>
      </c>
      <c r="N7" s="22" t="str">
        <f>IF(ISNA(VLOOKUP(CONCATENATE(M$3,$K7),PDP8E!$H$5:$M$385,6,0)),"",IF(LEN(VLOOKUP(CONCATENATE(M$3,$K7),PDP8E!$H$5:$M$385,6,0))&lt;1,"",VLOOKUP(CONCATENATE(M$3,$K7),PDP8E!$H$5:$M$385,6,0)))</f>
        <v>Load Command, Clear AC</v>
      </c>
      <c r="O7" s="25" t="str">
        <f t="shared" si="0"/>
        <v>RX28</v>
      </c>
      <c r="P7" s="8"/>
    </row>
    <row r="8" spans="1:16" x14ac:dyDescent="0.2">
      <c r="A8" s="43"/>
      <c r="B8" s="36">
        <v>6</v>
      </c>
      <c r="C8" s="190"/>
      <c r="D8" s="54" t="str">
        <f>IF(LEN(C8)&lt;1,"",VLOOKUP(C8,Installed!$G$4:$H$38,2,0))</f>
        <v/>
      </c>
      <c r="E8" s="51"/>
      <c r="F8" s="43"/>
      <c r="G8" s="36" t="s">
        <v>574</v>
      </c>
      <c r="H8" s="37" t="str">
        <f>VLOOKUP(G8,PDP8E!$J$5:$M$385,2,0)</f>
        <v>Low-Level Analog Input Subsystem</v>
      </c>
      <c r="I8" s="46"/>
      <c r="J8" s="8"/>
      <c r="K8" s="24">
        <v>3</v>
      </c>
      <c r="L8" s="20">
        <f>IF(ISNA(VLOOKUP(CONCATENATE(M$3,$K8),PDP8E!$H$5:$M$385,2,0)),"",VLOOKUP(CONCATENATE(M$3,$K8),PDP8E!$H$5:$M$385,2,0))</f>
        <v>6752</v>
      </c>
      <c r="M8" s="21" t="str">
        <f>IF(ISNA(VLOOKUP(CONCATENATE(M$3,$K8),PDP8E!$H$5:$M$385,5,0)),"",IF(LEN(VLOOKUP(CONCATENATE(M$3,$K8),PDP8E!$H$5:$M$385,5,0))&lt;1,"",VLOOKUP(CONCATENATE(M$3,$K8),PDP8E!$H$5:$M$385,5,0)))</f>
        <v>XDR</v>
      </c>
      <c r="N8" s="22" t="str">
        <f>IF(ISNA(VLOOKUP(CONCATENATE(M$3,$K8),PDP8E!$H$5:$M$385,6,0)),"",IF(LEN(VLOOKUP(CONCATENATE(M$3,$K8),PDP8E!$H$5:$M$385,6,0))&lt;1,"",VLOOKUP(CONCATENATE(M$3,$K8),PDP8E!$H$5:$M$385,6,0)))</f>
        <v>Transfer Data Register</v>
      </c>
      <c r="O8" s="26" t="str">
        <f t="shared" si="0"/>
        <v>RX28</v>
      </c>
      <c r="P8" s="8"/>
    </row>
    <row r="9" spans="1:16" x14ac:dyDescent="0.2">
      <c r="A9" s="43"/>
      <c r="B9" s="36">
        <v>7</v>
      </c>
      <c r="C9" s="190"/>
      <c r="D9" s="54" t="str">
        <f>IF(LEN(C9)&lt;1,"",VLOOKUP(C9,Installed!$G$4:$H$38,2,0))</f>
        <v/>
      </c>
      <c r="E9" s="51"/>
      <c r="F9" s="43"/>
      <c r="G9" s="36" t="s">
        <v>439</v>
      </c>
      <c r="H9" s="37" t="str">
        <f>VLOOKUP(G9,PDP8E!$J$5:$M$385,2,0)</f>
        <v>General Purpose Interface Unit</v>
      </c>
      <c r="I9" s="46"/>
      <c r="J9" s="8"/>
      <c r="K9" s="24">
        <v>4</v>
      </c>
      <c r="L9" s="20">
        <f>IF(ISNA(VLOOKUP(CONCATENATE(M$3,$K9),PDP8E!$H$5:$M$385,2,0)),"",VLOOKUP(CONCATENATE(M$3,$K9),PDP8E!$H$5:$M$385,2,0))</f>
        <v>6753</v>
      </c>
      <c r="M9" s="21" t="str">
        <f>IF(ISNA(VLOOKUP(CONCATENATE(M$3,$K9),PDP8E!$H$5:$M$385,5,0)),"",IF(LEN(VLOOKUP(CONCATENATE(M$3,$K9),PDP8E!$H$5:$M$385,5,0))&lt;1,"",VLOOKUP(CONCATENATE(M$3,$K9),PDP8E!$H$5:$M$385,5,0)))</f>
        <v>STR</v>
      </c>
      <c r="N9" s="22" t="str">
        <f>IF(ISNA(VLOOKUP(CONCATENATE(M$3,$K9),PDP8E!$H$5:$M$385,6,0)),"",IF(LEN(VLOOKUP(CONCATENATE(M$3,$K9),PDP8E!$H$5:$M$385,6,0))&lt;1,"",VLOOKUP(CONCATENATE(M$3,$K9),PDP8E!$H$5:$M$385,6,0)))</f>
        <v>Skip on Transfer Request Flag, Clear Flag</v>
      </c>
      <c r="O9" s="26" t="str">
        <f t="shared" si="0"/>
        <v>RX28</v>
      </c>
      <c r="P9" s="8"/>
    </row>
    <row r="10" spans="1:16" ht="17" thickBot="1" x14ac:dyDescent="0.25">
      <c r="A10" s="43"/>
      <c r="B10" s="38">
        <v>8</v>
      </c>
      <c r="C10" s="191"/>
      <c r="D10" s="55" t="str">
        <f>IF(LEN(C10)&lt;1,"",VLOOKUP(C10,Installed!$G$4:$H$38,2,0))</f>
        <v/>
      </c>
      <c r="E10" s="51"/>
      <c r="F10" s="43"/>
      <c r="G10" s="36" t="s">
        <v>329</v>
      </c>
      <c r="H10" s="37" t="str">
        <f>VLOOKUP(G10,PDP8E!$J$5:$M$385,2,0)</f>
        <v>Card Reader and Control</v>
      </c>
      <c r="I10" s="46"/>
      <c r="J10" s="8"/>
      <c r="K10" s="24">
        <v>5</v>
      </c>
      <c r="L10" s="20">
        <f>IF(ISNA(VLOOKUP(CONCATENATE(M$3,$K10),PDP8E!$H$5:$M$385,2,0)),"",VLOOKUP(CONCATENATE(M$3,$K10),PDP8E!$H$5:$M$385,2,0))</f>
        <v>6754</v>
      </c>
      <c r="M10" s="21" t="str">
        <f>IF(ISNA(VLOOKUP(CONCATENATE(M$3,$K10),PDP8E!$H$5:$M$385,5,0)),"",IF(LEN(VLOOKUP(CONCATENATE(M$3,$K10),PDP8E!$H$5:$M$385,5,0))&lt;1,"",VLOOKUP(CONCATENATE(M$3,$K10),PDP8E!$H$5:$M$385,5,0)))</f>
        <v>SER</v>
      </c>
      <c r="N10" s="22" t="str">
        <f>IF(ISNA(VLOOKUP(CONCATENATE(M$3,$K10),PDP8E!$H$5:$M$385,6,0)),"",IF(LEN(VLOOKUP(CONCATENATE(M$3,$K10),PDP8E!$H$5:$M$385,6,0))&lt;1,"",VLOOKUP(CONCATENATE(M$3,$K10),PDP8E!$H$5:$M$385,6,0)))</f>
        <v>Skip on Error Flag, Clear Flag</v>
      </c>
      <c r="O10" s="26" t="str">
        <f t="shared" si="0"/>
        <v>RX28</v>
      </c>
      <c r="P10" s="8"/>
    </row>
    <row r="11" spans="1:16" ht="17" thickBot="1" x14ac:dyDescent="0.25">
      <c r="A11" s="47"/>
      <c r="B11" s="52"/>
      <c r="C11" s="48"/>
      <c r="D11" s="48"/>
      <c r="E11" s="49"/>
      <c r="F11" s="43"/>
      <c r="G11" s="36" t="s">
        <v>429</v>
      </c>
      <c r="H11" s="37" t="str">
        <f>VLOOKUP(G11,PDP8E!$J$5:$M$385,2,0)</f>
        <v>Interprocessor Buffer</v>
      </c>
      <c r="I11" s="46"/>
      <c r="J11" s="8"/>
      <c r="K11" s="24">
        <v>6</v>
      </c>
      <c r="L11" s="20">
        <f>IF(ISNA(VLOOKUP(CONCATENATE(M$3,$K11),PDP8E!$H$5:$M$385,2,0)),"",VLOOKUP(CONCATENATE(M$3,$K11),PDP8E!$H$5:$M$385,2,0))</f>
        <v>6755</v>
      </c>
      <c r="M11" s="21" t="str">
        <f>IF(ISNA(VLOOKUP(CONCATENATE(M$3,$K11),PDP8E!$H$5:$M$385,5,0)),"",IF(LEN(VLOOKUP(CONCATENATE(M$3,$K11),PDP8E!$H$5:$M$385,5,0))&lt;1,"",VLOOKUP(CONCATENATE(M$3,$K11),PDP8E!$H$5:$M$385,5,0)))</f>
        <v>SDN</v>
      </c>
      <c r="N11" s="22" t="str">
        <f>IF(ISNA(VLOOKUP(CONCATENATE(M$3,$K11),PDP8E!$H$5:$M$385,6,0)),"",IF(LEN(VLOOKUP(CONCATENATE(M$3,$K11),PDP8E!$H$5:$M$385,6,0))&lt;1,"",VLOOKUP(CONCATENATE(M$3,$K11),PDP8E!$H$5:$M$385,6,0)))</f>
        <v>Skip on Done Flag, Clear Flag</v>
      </c>
      <c r="O11" s="26" t="str">
        <f t="shared" si="0"/>
        <v>RX28</v>
      </c>
      <c r="P11" s="8"/>
    </row>
    <row r="12" spans="1:16" ht="17" thickTop="1" x14ac:dyDescent="0.2">
      <c r="F12" s="43"/>
      <c r="G12" s="36" t="s">
        <v>664</v>
      </c>
      <c r="H12" s="37" t="str">
        <f>VLOOKUP(G12,PDP8E!$J$5:$M$385,2,0)</f>
        <v>8-Channel Multiple TTY Control</v>
      </c>
      <c r="I12" s="46"/>
      <c r="J12" s="8"/>
      <c r="K12" s="24">
        <v>7</v>
      </c>
      <c r="L12" s="20">
        <f>IF(ISNA(VLOOKUP(CONCATENATE(M$3,$K12),PDP8E!$H$5:$M$385,2,0)),"",VLOOKUP(CONCATENATE(M$3,$K12),PDP8E!$H$5:$M$385,2,0))</f>
        <v>6756</v>
      </c>
      <c r="M12" s="21" t="str">
        <f>IF(ISNA(VLOOKUP(CONCATENATE(M$3,$K12),PDP8E!$H$5:$M$385,5,0)),"",IF(LEN(VLOOKUP(CONCATENATE(M$3,$K12),PDP8E!$H$5:$M$385,5,0))&lt;1,"",VLOOKUP(CONCATENATE(M$3,$K12),PDP8E!$H$5:$M$385,5,0)))</f>
        <v>INTR</v>
      </c>
      <c r="N12" s="22" t="str">
        <f>IF(ISNA(VLOOKUP(CONCATENATE(M$3,$K12),PDP8E!$H$5:$M$385,6,0)),"",IF(LEN(VLOOKUP(CONCATENATE(M$3,$K12),PDP8E!$H$5:$M$385,6,0))&lt;1,"",VLOOKUP(CONCATENATE(M$3,$K12),PDP8E!$H$5:$M$385,6,0)))</f>
        <v>Enable or Disable Disk Interrupts</v>
      </c>
      <c r="O12" s="26" t="str">
        <f t="shared" si="0"/>
        <v>RX28</v>
      </c>
      <c r="P12" s="8"/>
    </row>
    <row r="13" spans="1:16" x14ac:dyDescent="0.2">
      <c r="F13" s="43"/>
      <c r="G13" s="36" t="s">
        <v>481</v>
      </c>
      <c r="H13" s="37" t="str">
        <f>VLOOKUP(G13,PDP8E!$J$5:$M$385,2,0)</f>
        <v>DEC Disk File &amp; Control</v>
      </c>
      <c r="I13" s="46"/>
      <c r="J13" s="8"/>
      <c r="K13" s="24">
        <v>8</v>
      </c>
      <c r="L13" s="20">
        <f>IF(ISNA(VLOOKUP(CONCATENATE(M$3,$K13),PDP8E!$H$5:$M$385,2,0)),"",VLOOKUP(CONCATENATE(M$3,$K13),PDP8E!$H$5:$M$385,2,0))</f>
        <v>6757</v>
      </c>
      <c r="M13" s="21" t="str">
        <f>IF(ISNA(VLOOKUP(CONCATENATE(M$3,$K13),PDP8E!$H$5:$M$385,5,0)),"",IF(LEN(VLOOKUP(CONCATENATE(M$3,$K13),PDP8E!$H$5:$M$385,5,0))&lt;1,"",VLOOKUP(CONCATENATE(M$3,$K13),PDP8E!$H$5:$M$385,5,0)))</f>
        <v>INIT</v>
      </c>
      <c r="N13" s="22" t="str">
        <f>IF(ISNA(VLOOKUP(CONCATENATE(M$3,$K13),PDP8E!$H$5:$M$385,6,0)),"",IF(LEN(VLOOKUP(CONCATENATE(M$3,$K13),PDP8E!$H$5:$M$385,6,0))&lt;1,"",VLOOKUP(CONCATENATE(M$3,$K13),PDP8E!$H$5:$M$385,6,0)))</f>
        <v>Initialize Controller and Interface</v>
      </c>
      <c r="O13" s="26" t="str">
        <f t="shared" si="0"/>
        <v>RX28</v>
      </c>
      <c r="P13" s="8"/>
    </row>
    <row r="14" spans="1:16" x14ac:dyDescent="0.2">
      <c r="F14" s="43"/>
      <c r="G14" s="36" t="s">
        <v>142</v>
      </c>
      <c r="H14" s="37" t="str">
        <f>VLOOKUP(G14,PDP8E!$J$5:$M$385,2,0)</f>
        <v>Real-Time Clock (Line Frequency)</v>
      </c>
      <c r="I14" s="46"/>
      <c r="J14" s="8"/>
      <c r="K14" s="24">
        <v>9</v>
      </c>
      <c r="L14" s="20" t="str">
        <f>IF(ISNA(VLOOKUP(CONCATENATE(M$3,$K14),PDP8E!$H$5:$M$385,2,0)),"",VLOOKUP(CONCATENATE(M$3,$K14),PDP8E!$H$5:$M$385,2,0))</f>
        <v/>
      </c>
      <c r="M14" s="21" t="str">
        <f>IF(ISNA(VLOOKUP(CONCATENATE(M$3,$K14),PDP8E!$H$5:$M$385,5,0)),"",IF(LEN(VLOOKUP(CONCATENATE(M$3,$K14),PDP8E!$H$5:$M$385,5,0))&lt;1,"",VLOOKUP(CONCATENATE(M$3,$K14),PDP8E!$H$5:$M$385,5,0)))</f>
        <v/>
      </c>
      <c r="N14" s="22" t="str">
        <f>IF(ISNA(VLOOKUP(CONCATENATE(M$3,$K14),PDP8E!$H$5:$M$385,6,0)),"",IF(LEN(VLOOKUP(CONCATENATE(M$3,$K14),PDP8E!$H$5:$M$385,6,0))&lt;1,"",VLOOKUP(CONCATENATE(M$3,$K14),PDP8E!$H$5:$M$385,6,0)))</f>
        <v/>
      </c>
      <c r="O14" s="26" t="str">
        <f t="shared" si="0"/>
        <v/>
      </c>
      <c r="P14" s="8"/>
    </row>
    <row r="15" spans="1:16" x14ac:dyDescent="0.2">
      <c r="F15" s="43"/>
      <c r="G15" s="36" t="s">
        <v>150</v>
      </c>
      <c r="H15" s="37" t="str">
        <f>VLOOKUP(G15,PDP8E!$J$5:$M$385,2,0)</f>
        <v>Real-Time Clock (Crystal)</v>
      </c>
      <c r="I15" s="46"/>
      <c r="J15" s="8"/>
      <c r="K15" s="24">
        <v>10</v>
      </c>
      <c r="L15" s="20" t="str">
        <f>IF(ISNA(VLOOKUP(CONCATENATE(M$3,$K15),PDP8E!$H$5:$M$385,2,0)),"",VLOOKUP(CONCATENATE(M$3,$K15),PDP8E!$H$5:$M$385,2,0))</f>
        <v/>
      </c>
      <c r="M15" s="21" t="str">
        <f>IF(ISNA(VLOOKUP(CONCATENATE(M$3,$K15),PDP8E!$H$5:$M$385,5,0)),"",IF(LEN(VLOOKUP(CONCATENATE(M$3,$K15),PDP8E!$H$5:$M$385,5,0))&lt;1,"",VLOOKUP(CONCATENATE(M$3,$K15),PDP8E!$H$5:$M$385,5,0)))</f>
        <v/>
      </c>
      <c r="N15" s="22" t="str">
        <f>IF(ISNA(VLOOKUP(CONCATENATE(M$3,$K15),PDP8E!$H$5:$M$385,6,0)),"",IF(LEN(VLOOKUP(CONCATENATE(M$3,$K15),PDP8E!$H$5:$M$385,6,0))&lt;1,"",VLOOKUP(CONCATENATE(M$3,$K15),PDP8E!$H$5:$M$385,6,0)))</f>
        <v/>
      </c>
      <c r="O15" s="26" t="str">
        <f t="shared" si="0"/>
        <v/>
      </c>
      <c r="P15" s="8"/>
    </row>
    <row r="16" spans="1:16" x14ac:dyDescent="0.2">
      <c r="F16" s="43"/>
      <c r="G16" s="36" t="s">
        <v>268</v>
      </c>
      <c r="H16" s="37" t="str">
        <f>VLOOKUP(G16,PDP8E!$J$5:$M$385,2,0)</f>
        <v>Synchronous Modem Interface</v>
      </c>
      <c r="I16" s="46"/>
      <c r="J16" s="8"/>
      <c r="K16" s="24">
        <v>11</v>
      </c>
      <c r="L16" s="20" t="str">
        <f>IF(ISNA(VLOOKUP(CONCATENATE(M$3,$K16),PDP8E!$H$5:$M$385,2,0)),"",VLOOKUP(CONCATENATE(M$3,$K16),PDP8E!$H$5:$M$385,2,0))</f>
        <v/>
      </c>
      <c r="M16" s="21" t="str">
        <f>IF(ISNA(VLOOKUP(CONCATENATE(M$3,$K16),PDP8E!$H$5:$M$385,5,0)),"",IF(LEN(VLOOKUP(CONCATENATE(M$3,$K16),PDP8E!$H$5:$M$385,5,0))&lt;1,"",VLOOKUP(CONCATENATE(M$3,$K16),PDP8E!$H$5:$M$385,5,0)))</f>
        <v/>
      </c>
      <c r="N16" s="22" t="str">
        <f>IF(ISNA(VLOOKUP(CONCATENATE(M$3,$K16),PDP8E!$H$5:$M$385,6,0)),"",IF(LEN(VLOOKUP(CONCATENATE(M$3,$K16),PDP8E!$H$5:$M$385,6,0))&lt;1,"",VLOOKUP(CONCATENATE(M$3,$K16),PDP8E!$H$5:$M$385,6,0)))</f>
        <v/>
      </c>
      <c r="O16" s="26" t="str">
        <f t="shared" si="0"/>
        <v/>
      </c>
      <c r="P16" s="8"/>
    </row>
    <row r="17" spans="6:16" x14ac:dyDescent="0.2">
      <c r="F17" s="43"/>
      <c r="G17" s="36" t="s">
        <v>302</v>
      </c>
      <c r="H17" s="37" t="str">
        <f>VLOOKUP(G17,PDP8E!$J$5:$M$385,2,0)</f>
        <v>Redundancy Check Option</v>
      </c>
      <c r="I17" s="46"/>
      <c r="J17" s="8"/>
      <c r="K17" s="24">
        <v>12</v>
      </c>
      <c r="L17" s="20" t="str">
        <f>IF(ISNA(VLOOKUP(CONCATENATE(M$3,$K17),PDP8E!$H$5:$M$385,2,0)),"",VLOOKUP(CONCATENATE(M$3,$K17),PDP8E!$H$5:$M$385,2,0))</f>
        <v/>
      </c>
      <c r="M17" s="21" t="str">
        <f>IF(ISNA(VLOOKUP(CONCATENATE(M$3,$K17),PDP8E!$H$5:$M$385,5,0)),"",IF(LEN(VLOOKUP(CONCATENATE(M$3,$K17),PDP8E!$H$5:$M$385,5,0))&lt;1,"",VLOOKUP(CONCATENATE(M$3,$K17),PDP8E!$H$5:$M$385,5,0)))</f>
        <v/>
      </c>
      <c r="N17" s="22" t="str">
        <f>IF(ISNA(VLOOKUP(CONCATENATE(M$3,$K17),PDP8E!$H$5:$M$385,6,0)),"",IF(LEN(VLOOKUP(CONCATENATE(M$3,$K17),PDP8E!$H$5:$M$385,6,0))&lt;1,"",VLOOKUP(CONCATENATE(M$3,$K17),PDP8E!$H$5:$M$385,6,0)))</f>
        <v/>
      </c>
      <c r="O17" s="26" t="str">
        <f t="shared" si="0"/>
        <v/>
      </c>
      <c r="P17" s="8"/>
    </row>
    <row r="18" spans="6:16" x14ac:dyDescent="0.2">
      <c r="F18" s="43"/>
      <c r="G18" s="36" t="s">
        <v>411</v>
      </c>
      <c r="H18" s="37" t="str">
        <f>VLOOKUP(G18,PDP8E!$J$5:$M$385,2,0)</f>
        <v>12-Channel Buffered Digital I/O</v>
      </c>
      <c r="I18" s="46"/>
      <c r="J18" s="8"/>
      <c r="K18" s="24">
        <v>13</v>
      </c>
      <c r="L18" s="20" t="str">
        <f>IF(ISNA(VLOOKUP(CONCATENATE(M$3,$K18),PDP8E!$H$5:$M$385,2,0)),"",VLOOKUP(CONCATENATE(M$3,$K18),PDP8E!$H$5:$M$385,2,0))</f>
        <v/>
      </c>
      <c r="M18" s="21" t="str">
        <f>IF(ISNA(VLOOKUP(CONCATENATE(M$3,$K18),PDP8E!$H$5:$M$385,5,0)),"",IF(LEN(VLOOKUP(CONCATENATE(M$3,$K18),PDP8E!$H$5:$M$385,5,0))&lt;1,"",VLOOKUP(CONCATENATE(M$3,$K18),PDP8E!$H$5:$M$385,5,0)))</f>
        <v/>
      </c>
      <c r="N18" s="22" t="str">
        <f>IF(ISNA(VLOOKUP(CONCATENATE(M$3,$K18),PDP8E!$H$5:$M$385,6,0)),"",IF(LEN(VLOOKUP(CONCATENATE(M$3,$K18),PDP8E!$H$5:$M$385,6,0))&lt;1,"",VLOOKUP(CONCATENATE(M$3,$K18),PDP8E!$H$5:$M$385,6,0)))</f>
        <v/>
      </c>
      <c r="O18" s="26" t="str">
        <f t="shared" si="0"/>
        <v/>
      </c>
      <c r="P18" s="8"/>
    </row>
    <row r="19" spans="6:16" x14ac:dyDescent="0.2">
      <c r="F19" s="43"/>
      <c r="G19" s="36" t="s">
        <v>690</v>
      </c>
      <c r="H19" s="37" t="str">
        <f>VLOOKUP(G19,PDP8E!$J$5:$M$385,2,0)</f>
        <v>Floating Point Processor</v>
      </c>
      <c r="I19" s="46"/>
      <c r="J19" s="8"/>
      <c r="K19" s="24">
        <v>14</v>
      </c>
      <c r="L19" s="20" t="str">
        <f>IF(ISNA(VLOOKUP(CONCATENATE(M$3,$K19),PDP8E!$H$5:$M$385,2,0)),"",VLOOKUP(CONCATENATE(M$3,$K19),PDP8E!$H$5:$M$385,2,0))</f>
        <v/>
      </c>
      <c r="M19" s="21" t="str">
        <f>IF(ISNA(VLOOKUP(CONCATENATE(M$3,$K19),PDP8E!$H$5:$M$385,5,0)),"",IF(LEN(VLOOKUP(CONCATENATE(M$3,$K19),PDP8E!$H$5:$M$385,5,0))&lt;1,"",VLOOKUP(CONCATENATE(M$3,$K19),PDP8E!$H$5:$M$385,5,0)))</f>
        <v/>
      </c>
      <c r="N19" s="22" t="str">
        <f>IF(ISNA(VLOOKUP(CONCATENATE(M$3,$K19),PDP8E!$H$5:$M$385,6,0)),"",IF(LEN(VLOOKUP(CONCATENATE(M$3,$K19),PDP8E!$H$5:$M$385,6,0))&lt;1,"",VLOOKUP(CONCATENATE(M$3,$K19),PDP8E!$H$5:$M$385,6,0)))</f>
        <v/>
      </c>
      <c r="O19" s="26" t="str">
        <f t="shared" si="0"/>
        <v/>
      </c>
      <c r="P19" s="8"/>
    </row>
    <row r="20" spans="6:16" x14ac:dyDescent="0.2">
      <c r="F20" s="43"/>
      <c r="G20" s="36" t="s">
        <v>319</v>
      </c>
      <c r="H20" s="37" t="str">
        <f>VLOOKUP(G20,PDP8E!$J$5:$M$385,2,0)</f>
        <v>Asynchronous Data Control</v>
      </c>
      <c r="I20" s="46"/>
      <c r="J20" s="8"/>
      <c r="K20" s="24">
        <v>15</v>
      </c>
      <c r="L20" s="20" t="str">
        <f>IF(ISNA(VLOOKUP(CONCATENATE(M$3,$K20),PDP8E!$H$5:$M$385,2,0)),"",VLOOKUP(CONCATENATE(M$3,$K20),PDP8E!$H$5:$M$385,2,0))</f>
        <v/>
      </c>
      <c r="M20" s="21" t="str">
        <f>IF(ISNA(VLOOKUP(CONCATENATE(M$3,$K20),PDP8E!$H$5:$M$385,5,0)),"",IF(LEN(VLOOKUP(CONCATENATE(M$3,$K20),PDP8E!$H$5:$M$385,5,0))&lt;1,"",VLOOKUP(CONCATENATE(M$3,$K20),PDP8E!$H$5:$M$385,5,0)))</f>
        <v/>
      </c>
      <c r="N20" s="22" t="str">
        <f>IF(ISNA(VLOOKUP(CONCATENATE(M$3,$K20),PDP8E!$H$5:$M$385,6,0)),"",IF(LEN(VLOOKUP(CONCATENATE(M$3,$K20),PDP8E!$H$5:$M$385,6,0))&lt;1,"",VLOOKUP(CONCATENATE(M$3,$K20),PDP8E!$H$5:$M$385,6,0)))</f>
        <v/>
      </c>
      <c r="O20" s="26" t="str">
        <f t="shared" si="0"/>
        <v/>
      </c>
      <c r="P20" s="8"/>
    </row>
    <row r="21" spans="6:16" x14ac:dyDescent="0.2">
      <c r="F21" s="43"/>
      <c r="G21" s="36" t="s">
        <v>104</v>
      </c>
      <c r="H21" s="37" t="str">
        <f>VLOOKUP(G21,PDP8E!$J$5:$M$385,2,0)</f>
        <v>Memory Extension &amp; Timeshare</v>
      </c>
      <c r="I21" s="46"/>
      <c r="J21" s="8"/>
      <c r="K21" s="24">
        <v>16</v>
      </c>
      <c r="L21" s="20" t="str">
        <f>IF(ISNA(VLOOKUP(CONCATENATE(M$3,$K21),PDP8E!$H$5:$M$385,2,0)),"",VLOOKUP(CONCATENATE(M$3,$K21),PDP8E!$H$5:$M$385,2,0))</f>
        <v/>
      </c>
      <c r="M21" s="21" t="str">
        <f>IF(ISNA(VLOOKUP(CONCATENATE(M$3,$K21),PDP8E!$H$5:$M$385,5,0)),"",IF(LEN(VLOOKUP(CONCATENATE(M$3,$K21),PDP8E!$H$5:$M$385,5,0))&lt;1,"",VLOOKUP(CONCATENATE(M$3,$K21),PDP8E!$H$5:$M$385,5,0)))</f>
        <v/>
      </c>
      <c r="N21" s="22" t="str">
        <f>IF(ISNA(VLOOKUP(CONCATENATE(M$3,$K21),PDP8E!$H$5:$M$385,6,0)),"",IF(LEN(VLOOKUP(CONCATENATE(M$3,$K21),PDP8E!$H$5:$M$385,6,0))&lt;1,"",VLOOKUP(CONCATENATE(M$3,$K21),PDP8E!$H$5:$M$385,6,0)))</f>
        <v/>
      </c>
      <c r="O21" s="26" t="str">
        <f t="shared" si="0"/>
        <v/>
      </c>
      <c r="P21" s="8"/>
    </row>
    <row r="22" spans="6:16" x14ac:dyDescent="0.2">
      <c r="F22" s="43"/>
      <c r="G22" s="36" t="s">
        <v>166</v>
      </c>
      <c r="H22" s="37" t="str">
        <f>VLOOKUP(G22,PDP8E!$J$5:$M$385,2,0)</f>
        <v>Power Fail Detect</v>
      </c>
      <c r="I22" s="46"/>
      <c r="J22" s="8"/>
      <c r="K22" s="24">
        <v>17</v>
      </c>
      <c r="L22" s="20" t="str">
        <f>IF(ISNA(VLOOKUP(CONCATENATE(M$3,$K22),PDP8E!$H$5:$M$385,2,0)),"",VLOOKUP(CONCATENATE(M$3,$K22),PDP8E!$H$5:$M$385,2,0))</f>
        <v/>
      </c>
      <c r="M22" s="21" t="str">
        <f>IF(ISNA(VLOOKUP(CONCATENATE(M$3,$K22),PDP8E!$H$5:$M$385,5,0)),"",IF(LEN(VLOOKUP(CONCATENATE(M$3,$K22),PDP8E!$H$5:$M$385,5,0))&lt;1,"",VLOOKUP(CONCATENATE(M$3,$K22),PDP8E!$H$5:$M$385,5,0)))</f>
        <v/>
      </c>
      <c r="N22" s="22" t="str">
        <f>IF(ISNA(VLOOKUP(CONCATENATE(M$3,$K22),PDP8E!$H$5:$M$385,6,0)),"",IF(LEN(VLOOKUP(CONCATENATE(M$3,$K22),PDP8E!$H$5:$M$385,6,0))&lt;1,"",VLOOKUP(CONCATENATE(M$3,$K22),PDP8E!$H$5:$M$385,6,0)))</f>
        <v/>
      </c>
      <c r="O22" s="26" t="str">
        <f t="shared" si="0"/>
        <v/>
      </c>
      <c r="P22" s="8"/>
    </row>
    <row r="23" spans="6:16" x14ac:dyDescent="0.2">
      <c r="F23" s="43"/>
      <c r="G23" s="36" t="s">
        <v>170</v>
      </c>
      <c r="H23" s="37" t="str">
        <f>VLOOKUP(G23,PDP8E!$J$5:$M$385,2,0)</f>
        <v>LA30 DECWriter Control</v>
      </c>
      <c r="I23" s="46"/>
      <c r="J23" s="8"/>
      <c r="K23" s="24">
        <v>18</v>
      </c>
      <c r="L23" s="20" t="str">
        <f>IF(ISNA(VLOOKUP(CONCATENATE(M$3,$K23),PDP8E!$H$5:$M$385,2,0)),"",VLOOKUP(CONCATENATE(M$3,$K23),PDP8E!$H$5:$M$385,2,0))</f>
        <v/>
      </c>
      <c r="M23" s="21" t="str">
        <f>IF(ISNA(VLOOKUP(CONCATENATE(M$3,$K23),PDP8E!$H$5:$M$385,5,0)),"",IF(LEN(VLOOKUP(CONCATENATE(M$3,$K23),PDP8E!$H$5:$M$385,5,0))&lt;1,"",VLOOKUP(CONCATENATE(M$3,$K23),PDP8E!$H$5:$M$385,5,0)))</f>
        <v/>
      </c>
      <c r="N23" s="22" t="str">
        <f>IF(ISNA(VLOOKUP(CONCATENATE(M$3,$K23),PDP8E!$H$5:$M$385,6,0)),"",IF(LEN(VLOOKUP(CONCATENATE(M$3,$K23),PDP8E!$H$5:$M$385,6,0))&lt;1,"",VLOOKUP(CONCATENATE(M$3,$K23),PDP8E!$H$5:$M$385,6,0)))</f>
        <v/>
      </c>
      <c r="O23" s="26" t="str">
        <f t="shared" si="0"/>
        <v/>
      </c>
      <c r="P23" s="8"/>
    </row>
    <row r="24" spans="6:16" x14ac:dyDescent="0.2">
      <c r="F24" s="43"/>
      <c r="G24" s="36" t="s">
        <v>252</v>
      </c>
      <c r="H24" s="37" t="e">
        <f>VLOOKUP(G24,PDP8E!$J$5:$M$385,2,0)</f>
        <v>#N/A</v>
      </c>
      <c r="I24" s="46"/>
      <c r="J24" s="8"/>
      <c r="K24" s="24">
        <v>19</v>
      </c>
      <c r="L24" s="20" t="str">
        <f>IF(ISNA(VLOOKUP(CONCATENATE(M$3,$K24),PDP8E!$H$5:$M$385,2,0)),"",VLOOKUP(CONCATENATE(M$3,$K24),PDP8E!$H$5:$M$385,2,0))</f>
        <v/>
      </c>
      <c r="M24" s="21" t="str">
        <f>IF(ISNA(VLOOKUP(CONCATENATE(M$3,$K24),PDP8E!$H$5:$M$385,5,0)),"",IF(LEN(VLOOKUP(CONCATENATE(M$3,$K24),PDP8E!$H$5:$M$385,5,0))&lt;1,"",VLOOKUP(CONCATENATE(M$3,$K24),PDP8E!$H$5:$M$385,5,0)))</f>
        <v/>
      </c>
      <c r="N24" s="22" t="str">
        <f>IF(ISNA(VLOOKUP(CONCATENATE(M$3,$K24),PDP8E!$H$5:$M$385,6,0)),"",IF(LEN(VLOOKUP(CONCATENATE(M$3,$K24),PDP8E!$H$5:$M$385,6,0))&lt;1,"",VLOOKUP(CONCATENATE(M$3,$K24),PDP8E!$H$5:$M$385,6,0)))</f>
        <v/>
      </c>
      <c r="O24" s="26" t="str">
        <f t="shared" si="0"/>
        <v/>
      </c>
      <c r="P24" s="8"/>
    </row>
    <row r="25" spans="6:16" x14ac:dyDescent="0.2">
      <c r="F25" s="43"/>
      <c r="G25" s="36" t="s">
        <v>126</v>
      </c>
      <c r="H25" s="37" t="str">
        <f>VLOOKUP(G25,PDP8E!$J$5:$M$385,2,0)</f>
        <v>Memory Parity</v>
      </c>
      <c r="I25" s="46"/>
      <c r="J25" s="8"/>
      <c r="K25" s="24">
        <v>20</v>
      </c>
      <c r="L25" s="20" t="str">
        <f>IF(ISNA(VLOOKUP(CONCATENATE(M$3,$K25),PDP8E!$H$5:$M$385,2,0)),"",VLOOKUP(CONCATENATE(M$3,$K25),PDP8E!$H$5:$M$385,2,0))</f>
        <v/>
      </c>
      <c r="M25" s="21" t="str">
        <f>IF(ISNA(VLOOKUP(CONCATENATE(M$3,$K25),PDP8E!$H$5:$M$385,5,0)),"",IF(LEN(VLOOKUP(CONCATENATE(M$3,$K25),PDP8E!$H$5:$M$385,5,0))&lt;1,"",VLOOKUP(CONCATENATE(M$3,$K25),PDP8E!$H$5:$M$385,5,0)))</f>
        <v/>
      </c>
      <c r="N25" s="22" t="str">
        <f>IF(ISNA(VLOOKUP(CONCATENATE(M$3,$K25),PDP8E!$H$5:$M$385,6,0)),"",IF(LEN(VLOOKUP(CONCATENATE(M$3,$K25),PDP8E!$H$5:$M$385,6,0))&lt;1,"",VLOOKUP(CONCATENATE(M$3,$K25),PDP8E!$H$5:$M$385,6,0)))</f>
        <v/>
      </c>
      <c r="O25" s="26" t="str">
        <f t="shared" si="0"/>
        <v/>
      </c>
      <c r="P25" s="8"/>
    </row>
    <row r="26" spans="6:16" x14ac:dyDescent="0.2">
      <c r="F26" s="43"/>
      <c r="G26" s="36" t="s">
        <v>206</v>
      </c>
      <c r="H26" s="37" t="str">
        <f>VLOOKUP(G26,PDP8E!$J$5:$M$385,2,0)</f>
        <v>Paper Tape Punch</v>
      </c>
      <c r="I26" s="46"/>
      <c r="J26" s="8"/>
      <c r="K26" s="24">
        <v>21</v>
      </c>
      <c r="L26" s="20" t="str">
        <f>IF(ISNA(VLOOKUP(CONCATENATE(M$3,$K26),PDP8E!$H$5:$M$385,2,0)),"",VLOOKUP(CONCATENATE(M$3,$K26),PDP8E!$H$5:$M$385,2,0))</f>
        <v/>
      </c>
      <c r="M26" s="21" t="str">
        <f>IF(ISNA(VLOOKUP(CONCATENATE(M$3,$K26),PDP8E!$H$5:$M$385,5,0)),"",IF(LEN(VLOOKUP(CONCATENATE(M$3,$K26),PDP8E!$H$5:$M$385,5,0))&lt;1,"",VLOOKUP(CONCATENATE(M$3,$K26),PDP8E!$H$5:$M$385,5,0)))</f>
        <v/>
      </c>
      <c r="N26" s="22" t="str">
        <f>IF(ISNA(VLOOKUP(CONCATENATE(M$3,$K26),PDP8E!$H$5:$M$385,6,0)),"",IF(LEN(VLOOKUP(CONCATENATE(M$3,$K26),PDP8E!$H$5:$M$385,6,0))&lt;1,"",VLOOKUP(CONCATENATE(M$3,$K26),PDP8E!$H$5:$M$385,6,0)))</f>
        <v/>
      </c>
      <c r="O26" s="26" t="str">
        <f t="shared" si="0"/>
        <v/>
      </c>
      <c r="P26" s="8"/>
    </row>
    <row r="27" spans="6:16" x14ac:dyDescent="0.2">
      <c r="F27" s="43"/>
      <c r="G27" s="36" t="s">
        <v>194</v>
      </c>
      <c r="H27" s="37" t="str">
        <f>VLOOKUP(G27,PDP8E!$J$5:$M$385,2,0)</f>
        <v>Paper Tape Reader</v>
      </c>
      <c r="I27" s="46"/>
      <c r="J27" s="8"/>
      <c r="K27" s="24">
        <v>22</v>
      </c>
      <c r="L27" s="20" t="str">
        <f>IF(ISNA(VLOOKUP(CONCATENATE(M$3,$K27),PDP8E!$H$5:$M$385,2,0)),"",VLOOKUP(CONCATENATE(M$3,$K27),PDP8E!$H$5:$M$385,2,0))</f>
        <v/>
      </c>
      <c r="M27" s="21" t="str">
        <f>IF(ISNA(VLOOKUP(CONCATENATE(M$3,$K27),PDP8E!$H$5:$M$385,5,0)),"",IF(LEN(VLOOKUP(CONCATENATE(M$3,$K27),PDP8E!$H$5:$M$385,5,0))&lt;1,"",VLOOKUP(CONCATENATE(M$3,$K27),PDP8E!$H$5:$M$385,5,0)))</f>
        <v/>
      </c>
      <c r="N27" s="22" t="str">
        <f>IF(ISNA(VLOOKUP(CONCATENATE(M$3,$K27),PDP8E!$H$5:$M$385,6,0)),"",IF(LEN(VLOOKUP(CONCATENATE(M$3,$K27),PDP8E!$H$5:$M$385,6,0))&lt;1,"",VLOOKUP(CONCATENATE(M$3,$K27),PDP8E!$H$5:$M$385,6,0)))</f>
        <v/>
      </c>
      <c r="O27" s="26" t="str">
        <f t="shared" si="0"/>
        <v/>
      </c>
      <c r="P27" s="8"/>
    </row>
    <row r="28" spans="6:16" x14ac:dyDescent="0.2">
      <c r="F28" s="43"/>
      <c r="G28" s="36" t="s">
        <v>503</v>
      </c>
      <c r="H28" s="37" t="str">
        <f>VLOOKUP(G28,PDP8E!$J$5:$M$385,2,0)</f>
        <v>Disk File and Control</v>
      </c>
      <c r="I28" s="46"/>
      <c r="J28" s="8"/>
      <c r="K28" s="24">
        <v>23</v>
      </c>
      <c r="L28" s="20" t="str">
        <f>IF(ISNA(VLOOKUP(CONCATENATE(M$3,$K28),PDP8E!$H$5:$M$385,2,0)),"",VLOOKUP(CONCATENATE(M$3,$K28),PDP8E!$H$5:$M$385,2,0))</f>
        <v/>
      </c>
      <c r="M28" s="21" t="str">
        <f>IF(ISNA(VLOOKUP(CONCATENATE(M$3,$K28),PDP8E!$H$5:$M$385,5,0)),"",IF(LEN(VLOOKUP(CONCATENATE(M$3,$K28),PDP8E!$H$5:$M$385,5,0))&lt;1,"",VLOOKUP(CONCATENATE(M$3,$K28),PDP8E!$H$5:$M$385,5,0)))</f>
        <v/>
      </c>
      <c r="N28" s="22" t="str">
        <f>IF(ISNA(VLOOKUP(CONCATENATE(M$3,$K28),PDP8E!$H$5:$M$385,6,0)),"",IF(LEN(VLOOKUP(CONCATENATE(M$3,$K28),PDP8E!$H$5:$M$385,6,0))&lt;1,"",VLOOKUP(CONCATENATE(M$3,$K28),PDP8E!$H$5:$M$385,6,0)))</f>
        <v/>
      </c>
      <c r="O28" s="26" t="str">
        <f t="shared" si="0"/>
        <v/>
      </c>
      <c r="P28" s="8"/>
    </row>
    <row r="29" spans="6:16" ht="17" thickBot="1" x14ac:dyDescent="0.25">
      <c r="F29" s="43"/>
      <c r="G29" s="36" t="s">
        <v>452</v>
      </c>
      <c r="H29" s="37" t="str">
        <f>VLOOKUP(G29,PDP8E!$J$5:$M$385,2,0)</f>
        <v>RK01 Disk Control</v>
      </c>
      <c r="I29" s="46"/>
      <c r="J29" s="8"/>
      <c r="K29" s="27">
        <v>24</v>
      </c>
      <c r="L29" s="28" t="str">
        <f>IF(ISNA(VLOOKUP(CONCATENATE(M$3,$K29),PDP8E!$H$5:$M$385,2,0)),"",VLOOKUP(CONCATENATE(M$3,$K29),PDP8E!$H$5:$M$385,2,0))</f>
        <v/>
      </c>
      <c r="M29" s="29" t="str">
        <f>IF(ISNA(VLOOKUP(CONCATENATE(M$3,$K29),PDP8E!$H$5:$M$385,5,0)),"",IF(LEN(VLOOKUP(CONCATENATE(M$3,$K29),PDP8E!$H$5:$M$385,5,0))&lt;1,"",VLOOKUP(CONCATENATE(M$3,$K29),PDP8E!$H$5:$M$385,5,0)))</f>
        <v/>
      </c>
      <c r="N29" s="30" t="str">
        <f>IF(ISNA(VLOOKUP(CONCATENATE(M$3,$K29),PDP8E!$H$5:$M$385,6,0)),"",IF(LEN(VLOOKUP(CONCATENATE(M$3,$K29),PDP8E!$H$5:$M$385,6,0))&lt;1,"",VLOOKUP(CONCATENATE(M$3,$K29),PDP8E!$H$5:$M$385,6,0)))</f>
        <v/>
      </c>
      <c r="O29" s="31" t="str">
        <f t="shared" si="0"/>
        <v/>
      </c>
      <c r="P29" s="8"/>
    </row>
    <row r="30" spans="6:16" ht="17" thickBot="1" x14ac:dyDescent="0.25">
      <c r="F30" s="43"/>
      <c r="G30" s="36" t="s">
        <v>726</v>
      </c>
      <c r="H30" s="37" t="str">
        <f>VLOOKUP(G30,PDP8E!$J$5:$M$385,2,0)</f>
        <v>RX02 Floppy Disk Subsystem</v>
      </c>
      <c r="I30" s="46"/>
      <c r="J30" s="8"/>
      <c r="K30" s="8"/>
      <c r="L30" s="9"/>
      <c r="M30" s="8"/>
      <c r="N30" s="10"/>
      <c r="O30" s="8"/>
      <c r="P30" s="8"/>
    </row>
    <row r="31" spans="6:16" ht="17" thickBot="1" x14ac:dyDescent="0.25">
      <c r="F31" s="43"/>
      <c r="G31" s="36" t="s">
        <v>709</v>
      </c>
      <c r="H31" s="37" t="str">
        <f>VLOOKUP(G31,PDP8E!$J$5:$M$385,2,0)</f>
        <v>RX01 Floppy Disk Subsystem</v>
      </c>
      <c r="I31" s="46"/>
      <c r="J31" s="8"/>
      <c r="K31" s="8"/>
      <c r="L31" s="11" t="s">
        <v>750</v>
      </c>
      <c r="M31" s="12" t="str">
        <f>$C$4</f>
        <v>KM8-E</v>
      </c>
      <c r="N31" s="13" t="str">
        <f>$D$4</f>
        <v>Memory Extension &amp; Timeshare</v>
      </c>
      <c r="O31" s="8"/>
      <c r="P31" s="8"/>
    </row>
    <row r="32" spans="6:16" ht="17" thickBot="1" x14ac:dyDescent="0.25">
      <c r="F32" s="43"/>
      <c r="G32" s="36" t="s">
        <v>521</v>
      </c>
      <c r="H32" s="37" t="str">
        <f>VLOOKUP(G32,PDP8E!$J$5:$M$385,2,0)</f>
        <v>DECtape</v>
      </c>
      <c r="I32" s="46"/>
      <c r="J32" s="8"/>
      <c r="K32" s="8"/>
      <c r="L32" s="9"/>
      <c r="M32" s="9"/>
      <c r="N32" s="9"/>
      <c r="O32" s="8"/>
      <c r="P32" s="8"/>
    </row>
    <row r="33" spans="6:16" ht="17" thickBot="1" x14ac:dyDescent="0.25">
      <c r="F33" s="43"/>
      <c r="G33" s="36" t="s">
        <v>536</v>
      </c>
      <c r="H33" s="37" t="str">
        <f>VLOOKUP(G33,PDP8E!$J$5:$M$385,2,0)</f>
        <v>DECmagtape System</v>
      </c>
      <c r="I33" s="46"/>
      <c r="J33" s="8"/>
      <c r="K33" s="14"/>
      <c r="L33" s="15" t="s">
        <v>751</v>
      </c>
      <c r="M33" s="16" t="s">
        <v>752</v>
      </c>
      <c r="N33" s="17" t="s">
        <v>82</v>
      </c>
      <c r="O33" s="18"/>
      <c r="P33" s="8"/>
    </row>
    <row r="34" spans="6:16" x14ac:dyDescent="0.2">
      <c r="F34" s="43"/>
      <c r="G34" s="36" t="s">
        <v>353</v>
      </c>
      <c r="H34" s="37" t="str">
        <f>VLOOKUP(G34,PDP8E!$J$5:$M$385,2,0)</f>
        <v>DECtape Option</v>
      </c>
      <c r="I34" s="46"/>
      <c r="J34" s="8"/>
      <c r="K34" s="19">
        <v>1</v>
      </c>
      <c r="L34" s="20">
        <f>IF(ISNA(VLOOKUP(CONCATENATE(M$31,$K6),PDP8E!$H$5:$M$385,2,0)),"",VLOOKUP(CONCATENATE(M$31,$K6),PDP8E!$H$5:$M$385,2,0))</f>
        <v>6004</v>
      </c>
      <c r="M34" s="21" t="str">
        <f>IF(ISNA(VLOOKUP(CONCATENATE(M$31,$K6),PDP8E!$H$5:$M$385,5,0)),"",IF(LEN(VLOOKUP(CONCATENATE(M$31,$K6),PDP8E!$H$5:$M$385,5,0))&lt;1,"",VLOOKUP(CONCATENATE(M$31,$K6),PDP8E!$H$5:$M$385,5,0)))</f>
        <v>GTF</v>
      </c>
      <c r="N34" s="22" t="str">
        <f>IF(ISNA(VLOOKUP(CONCATENATE(M$31,$K6),PDP8E!$H$5:$M$385,6,0)),"",IF(LEN(VLOOKUP(CONCATENATE(M$31,$K6),PDP8E!$H$5:$M$385,6,0))&lt;1,"",VLOOKUP(CONCATENATE(M$31,$K6),PDP8E!$H$5:$M$385,6,0)))</f>
        <v>Get Flags</v>
      </c>
      <c r="O34" s="23" t="str">
        <f>IF(LEN(L34)&lt;1,"",$M$31)</f>
        <v>KM8-E</v>
      </c>
      <c r="P34" s="8"/>
    </row>
    <row r="35" spans="6:16" x14ac:dyDescent="0.2">
      <c r="F35" s="43"/>
      <c r="G35" s="36" t="s">
        <v>622</v>
      </c>
      <c r="H35" s="37" t="str">
        <f>VLOOKUP(G35,PDP8E!$J$5:$M$385,2,0)</f>
        <v>Universal Digital Control</v>
      </c>
      <c r="I35" s="46"/>
      <c r="J35" s="8"/>
      <c r="K35" s="24">
        <v>2</v>
      </c>
      <c r="L35" s="20">
        <f>IF(ISNA(VLOOKUP(CONCATENATE(M$31,$K7),PDP8E!$H$5:$M$385,2,0)),"",VLOOKUP(CONCATENATE(M$31,$K7),PDP8E!$H$5:$M$385,2,0))</f>
        <v>6005</v>
      </c>
      <c r="M35" s="21" t="str">
        <f>IF(ISNA(VLOOKUP(CONCATENATE(M$31,$K7),PDP8E!$H$5:$M$385,5,0)),"",IF(LEN(VLOOKUP(CONCATENATE(M$31,$K7),PDP8E!$H$5:$M$385,5,0))&lt;1,"",VLOOKUP(CONCATENATE(M$31,$K7),PDP8E!$H$5:$M$385,5,0)))</f>
        <v>RTF</v>
      </c>
      <c r="N35" s="22" t="str">
        <f>IF(ISNA(VLOOKUP(CONCATENATE(M$31,$K7),PDP8E!$H$5:$M$385,6,0)),"",IF(LEN(VLOOKUP(CONCATENATE(M$31,$K7),PDP8E!$H$5:$M$385,6,0))&lt;1,"",VLOOKUP(CONCATENATE(M$31,$K7),PDP8E!$H$5:$M$385,6,0)))</f>
        <v>Restore Flags</v>
      </c>
      <c r="O35" s="26" t="str">
        <f t="shared" ref="O35:O57" si="1">IF(LEN(L35)&lt;1,"",$M$31)</f>
        <v>KM8-E</v>
      </c>
      <c r="P35" s="8"/>
    </row>
    <row r="36" spans="6:16" x14ac:dyDescent="0.2">
      <c r="F36" s="43"/>
      <c r="G36" s="36" t="s">
        <v>218</v>
      </c>
      <c r="H36" s="37" t="str">
        <f>VLOOKUP(G36,PDP8E!$J$5:$M$385,2,0)</f>
        <v>Point Plot Display Control</v>
      </c>
      <c r="I36" s="46"/>
      <c r="J36" s="8"/>
      <c r="K36" s="24">
        <v>3</v>
      </c>
      <c r="L36" s="20">
        <f>IF(ISNA(VLOOKUP(CONCATENATE(M$31,$K8),PDP8E!$H$5:$M$385,2,0)),"",VLOOKUP(CONCATENATE(M$31,$K8),PDP8E!$H$5:$M$385,2,0))</f>
        <v>6204</v>
      </c>
      <c r="M36" s="21" t="str">
        <f>IF(ISNA(VLOOKUP(CONCATENATE(M$31,$K8),PDP8E!$H$5:$M$385,5,0)),"",IF(LEN(VLOOKUP(CONCATENATE(M$31,$K8),PDP8E!$H$5:$M$385,5,0))&lt;1,"",VLOOKUP(CONCATENATE(M$31,$K8),PDP8E!$H$5:$M$385,5,0)))</f>
        <v>CINT</v>
      </c>
      <c r="N36" s="22" t="str">
        <f>IF(ISNA(VLOOKUP(CONCATENATE(M$31,$K8),PDP8E!$H$5:$M$385,6,0)),"",IF(LEN(VLOOKUP(CONCATENATE(M$31,$K8),PDP8E!$H$5:$M$385,6,0))&lt;1,"",VLOOKUP(CONCATENATE(M$31,$K8),PDP8E!$H$5:$M$385,6,0)))</f>
        <v>Clear User Interrupt</v>
      </c>
      <c r="O36" s="26" t="str">
        <f t="shared" si="1"/>
        <v>KM8-E</v>
      </c>
      <c r="P36" s="8"/>
    </row>
    <row r="37" spans="6:16" x14ac:dyDescent="0.2">
      <c r="F37" s="43"/>
      <c r="G37" s="36" t="s">
        <v>644</v>
      </c>
      <c r="H37" s="37" t="str">
        <f>VLOOKUP(G37,PDP8E!$J$5:$M$385,2,0)</f>
        <v>Writing Tablet</v>
      </c>
      <c r="I37" s="46"/>
      <c r="J37" s="8"/>
      <c r="K37" s="24">
        <v>4</v>
      </c>
      <c r="L37" s="20">
        <f>IF(ISNA(VLOOKUP(CONCATENATE(M$31,$K9),PDP8E!$H$5:$M$385,2,0)),"",VLOOKUP(CONCATENATE(M$31,$K9),PDP8E!$H$5:$M$385,2,0))</f>
        <v>6214</v>
      </c>
      <c r="M37" s="21" t="str">
        <f>IF(ISNA(VLOOKUP(CONCATENATE(M$31,$K9),PDP8E!$H$5:$M$385,5,0)),"",IF(LEN(VLOOKUP(CONCATENATE(M$31,$K9),PDP8E!$H$5:$M$385,5,0))&lt;1,"",VLOOKUP(CONCATENATE(M$31,$K9),PDP8E!$H$5:$M$385,5,0)))</f>
        <v>RDF</v>
      </c>
      <c r="N37" s="22" t="str">
        <f>IF(ISNA(VLOOKUP(CONCATENATE(M$31,$K9),PDP8E!$H$5:$M$385,6,0)),"",IF(LEN(VLOOKUP(CONCATENATE(M$31,$K9),PDP8E!$H$5:$M$385,6,0))&lt;1,"",VLOOKUP(CONCATENATE(M$31,$K9),PDP8E!$H$5:$M$385,6,0)))</f>
        <v>Read Data Field</v>
      </c>
      <c r="O37" s="26" t="str">
        <f t="shared" si="1"/>
        <v>KM8-E</v>
      </c>
      <c r="P37" s="8"/>
    </row>
    <row r="38" spans="6:16" ht="17" thickBot="1" x14ac:dyDescent="0.25">
      <c r="F38" s="43"/>
      <c r="G38" s="38" t="s">
        <v>234</v>
      </c>
      <c r="H38" s="39" t="str">
        <f>VLOOKUP(G38,PDP8E!$J$5:$M$385,2,0)</f>
        <v>Incremental Plotter Control</v>
      </c>
      <c r="I38" s="46"/>
      <c r="J38" s="8"/>
      <c r="K38" s="24">
        <v>5</v>
      </c>
      <c r="L38" s="20">
        <f>IF(ISNA(VLOOKUP(CONCATENATE(M$31,$K10),PDP8E!$H$5:$M$385,2,0)),"",VLOOKUP(CONCATENATE(M$31,$K10),PDP8E!$H$5:$M$385,2,0))</f>
        <v>6224</v>
      </c>
      <c r="M38" s="21" t="str">
        <f>IF(ISNA(VLOOKUP(CONCATENATE(M$31,$K10),PDP8E!$H$5:$M$385,5,0)),"",IF(LEN(VLOOKUP(CONCATENATE(M$31,$K10),PDP8E!$H$5:$M$385,5,0))&lt;1,"",VLOOKUP(CONCATENATE(M$31,$K10),PDP8E!$H$5:$M$385,5,0)))</f>
        <v>RIF</v>
      </c>
      <c r="N38" s="22" t="str">
        <f>IF(ISNA(VLOOKUP(CONCATENATE(M$31,$K10),PDP8E!$H$5:$M$385,6,0)),"",IF(LEN(VLOOKUP(CONCATENATE(M$31,$K10),PDP8E!$H$5:$M$385,6,0))&lt;1,"",VLOOKUP(CONCATENATE(M$31,$K10),PDP8E!$H$5:$M$385,6,0)))</f>
        <v>Read Instruction Field</v>
      </c>
      <c r="O38" s="26" t="str">
        <f t="shared" si="1"/>
        <v>KM8-E</v>
      </c>
      <c r="P38" s="8"/>
    </row>
    <row r="39" spans="6:16" ht="17" thickBot="1" x14ac:dyDescent="0.25">
      <c r="F39" s="47"/>
      <c r="G39" s="48"/>
      <c r="H39" s="48"/>
      <c r="I39" s="49"/>
      <c r="J39" s="8"/>
      <c r="K39" s="24">
        <v>6</v>
      </c>
      <c r="L39" s="20">
        <f>IF(ISNA(VLOOKUP(CONCATENATE(M$31,$K11),PDP8E!$H$5:$M$385,2,0)),"",VLOOKUP(CONCATENATE(M$31,$K11),PDP8E!$H$5:$M$385,2,0))</f>
        <v>6234</v>
      </c>
      <c r="M39" s="21" t="str">
        <f>IF(ISNA(VLOOKUP(CONCATENATE(M$31,$K11),PDP8E!$H$5:$M$385,5,0)),"",IF(LEN(VLOOKUP(CONCATENATE(M$31,$K11),PDP8E!$H$5:$M$385,5,0))&lt;1,"",VLOOKUP(CONCATENATE(M$31,$K11),PDP8E!$H$5:$M$385,5,0)))</f>
        <v>RIB</v>
      </c>
      <c r="N39" s="22" t="str">
        <f>IF(ISNA(VLOOKUP(CONCATENATE(M$31,$K11),PDP8E!$H$5:$M$385,6,0)),"",IF(LEN(VLOOKUP(CONCATENATE(M$31,$K11),PDP8E!$H$5:$M$385,6,0))&lt;1,"",VLOOKUP(CONCATENATE(M$31,$K11),PDP8E!$H$5:$M$385,6,0)))</f>
        <v>Read Interrupt Buffer</v>
      </c>
      <c r="O39" s="26" t="str">
        <f t="shared" si="1"/>
        <v>KM8-E</v>
      </c>
      <c r="P39" s="8"/>
    </row>
    <row r="40" spans="6:16" ht="17" thickTop="1" x14ac:dyDescent="0.2">
      <c r="J40" s="8"/>
      <c r="K40" s="24">
        <v>7</v>
      </c>
      <c r="L40" s="20">
        <f>IF(ISNA(VLOOKUP(CONCATENATE(M$31,$K12),PDP8E!$H$5:$M$385,2,0)),"",VLOOKUP(CONCATENATE(M$31,$K12),PDP8E!$H$5:$M$385,2,0))</f>
        <v>6244</v>
      </c>
      <c r="M40" s="21" t="str">
        <f>IF(ISNA(VLOOKUP(CONCATENATE(M$31,$K12),PDP8E!$H$5:$M$385,5,0)),"",IF(LEN(VLOOKUP(CONCATENATE(M$31,$K12),PDP8E!$H$5:$M$385,5,0))&lt;1,"",VLOOKUP(CONCATENATE(M$31,$K12),PDP8E!$H$5:$M$385,5,0)))</f>
        <v>RMF</v>
      </c>
      <c r="N40" s="22" t="str">
        <f>IF(ISNA(VLOOKUP(CONCATENATE(M$31,$K12),PDP8E!$H$5:$M$385,6,0)),"",IF(LEN(VLOOKUP(CONCATENATE(M$31,$K12),PDP8E!$H$5:$M$385,6,0))&lt;1,"",VLOOKUP(CONCATENATE(M$31,$K12),PDP8E!$H$5:$M$385,6,0)))</f>
        <v>Restore Memory Field</v>
      </c>
      <c r="O40" s="26" t="str">
        <f t="shared" si="1"/>
        <v>KM8-E</v>
      </c>
      <c r="P40" s="8"/>
    </row>
    <row r="41" spans="6:16" x14ac:dyDescent="0.2">
      <c r="J41" s="8"/>
      <c r="K41" s="24">
        <v>8</v>
      </c>
      <c r="L41" s="20">
        <f>IF(ISNA(VLOOKUP(CONCATENATE(M$31,$K13),PDP8E!$H$5:$M$385,2,0)),"",VLOOKUP(CONCATENATE(M$31,$K13),PDP8E!$H$5:$M$385,2,0))</f>
        <v>6254</v>
      </c>
      <c r="M41" s="21" t="str">
        <f>IF(ISNA(VLOOKUP(CONCATENATE(M$31,$K13),PDP8E!$H$5:$M$385,5,0)),"",IF(LEN(VLOOKUP(CONCATENATE(M$31,$K13),PDP8E!$H$5:$M$385,5,0))&lt;1,"",VLOOKUP(CONCATENATE(M$31,$K13),PDP8E!$H$5:$M$385,5,0)))</f>
        <v>SINT</v>
      </c>
      <c r="N41" s="22" t="str">
        <f>IF(ISNA(VLOOKUP(CONCATENATE(M$31,$K13),PDP8E!$H$5:$M$385,6,0)),"",IF(LEN(VLOOKUP(CONCATENATE(M$31,$K13),PDP8E!$H$5:$M$385,6,0))&lt;1,"",VLOOKUP(CONCATENATE(M$31,$K13),PDP8E!$H$5:$M$385,6,0)))</f>
        <v>Skip on User Interrupt</v>
      </c>
      <c r="O41" s="26" t="str">
        <f t="shared" si="1"/>
        <v>KM8-E</v>
      </c>
      <c r="P41" s="8"/>
    </row>
    <row r="42" spans="6:16" x14ac:dyDescent="0.2">
      <c r="J42" s="8"/>
      <c r="K42" s="24">
        <v>9</v>
      </c>
      <c r="L42" s="20">
        <f>IF(ISNA(VLOOKUP(CONCATENATE(M$31,$K14),PDP8E!$H$5:$M$385,2,0)),"",VLOOKUP(CONCATENATE(M$31,$K14),PDP8E!$H$5:$M$385,2,0))</f>
        <v>6264</v>
      </c>
      <c r="M42" s="21" t="str">
        <f>IF(ISNA(VLOOKUP(CONCATENATE(M$31,$K14),PDP8E!$H$5:$M$385,5,0)),"",IF(LEN(VLOOKUP(CONCATENATE(M$31,$K14),PDP8E!$H$5:$M$385,5,0))&lt;1,"",VLOOKUP(CONCATENATE(M$31,$K14),PDP8E!$H$5:$M$385,5,0)))</f>
        <v>CUF</v>
      </c>
      <c r="N42" s="22" t="str">
        <f>IF(ISNA(VLOOKUP(CONCATENATE(M$31,$K14),PDP8E!$H$5:$M$385,6,0)),"",IF(LEN(VLOOKUP(CONCATENATE(M$31,$K14),PDP8E!$H$5:$M$385,6,0))&lt;1,"",VLOOKUP(CONCATENATE(M$31,$K14),PDP8E!$H$5:$M$385,6,0)))</f>
        <v>Clear User Flag</v>
      </c>
      <c r="O42" s="26" t="str">
        <f t="shared" si="1"/>
        <v>KM8-E</v>
      </c>
      <c r="P42" s="8"/>
    </row>
    <row r="43" spans="6:16" x14ac:dyDescent="0.2">
      <c r="J43" s="8"/>
      <c r="K43" s="24">
        <v>10</v>
      </c>
      <c r="L43" s="20">
        <f>IF(ISNA(VLOOKUP(CONCATENATE(M$31,$K15),PDP8E!$H$5:$M$385,2,0)),"",VLOOKUP(CONCATENATE(M$31,$K15),PDP8E!$H$5:$M$385,2,0))</f>
        <v>6274</v>
      </c>
      <c r="M43" s="21" t="str">
        <f>IF(ISNA(VLOOKUP(CONCATENATE(M$31,$K15),PDP8E!$H$5:$M$385,5,0)),"",IF(LEN(VLOOKUP(CONCATENATE(M$31,$K15),PDP8E!$H$5:$M$385,5,0))&lt;1,"",VLOOKUP(CONCATENATE(M$31,$K15),PDP8E!$H$5:$M$385,5,0)))</f>
        <v/>
      </c>
      <c r="N43" s="22" t="str">
        <f>IF(ISNA(VLOOKUP(CONCATENATE(M$31,$K15),PDP8E!$H$5:$M$385,6,0)),"",IF(LEN(VLOOKUP(CONCATENATE(M$31,$K15),PDP8E!$H$5:$M$385,6,0))&lt;1,"",VLOOKUP(CONCATENATE(M$31,$K15),PDP8E!$H$5:$M$385,6,0)))</f>
        <v>Set User Buffer Flip Flop, Block Interrupts</v>
      </c>
      <c r="O43" s="26" t="str">
        <f t="shared" si="1"/>
        <v>KM8-E</v>
      </c>
      <c r="P43" s="8"/>
    </row>
    <row r="44" spans="6:16" x14ac:dyDescent="0.2">
      <c r="J44" s="8"/>
      <c r="K44" s="24">
        <v>11</v>
      </c>
      <c r="L44" s="20">
        <f>IF(ISNA(VLOOKUP(CONCATENATE(M$31,$K16),PDP8E!$H$5:$M$385,2,0)),"",VLOOKUP(CONCATENATE(M$31,$K16),PDP8E!$H$5:$M$385,2,0))</f>
        <v>6201</v>
      </c>
      <c r="M44" s="21" t="str">
        <f>IF(ISNA(VLOOKUP(CONCATENATE(M$31,$K16),PDP8E!$H$5:$M$385,5,0)),"",IF(LEN(VLOOKUP(CONCATENATE(M$31,$K16),PDP8E!$H$5:$M$385,5,0))&lt;1,"",VLOOKUP(CONCATENATE(M$31,$K16),PDP8E!$H$5:$M$385,5,0)))</f>
        <v>CDF 0</v>
      </c>
      <c r="N44" s="22" t="str">
        <f>IF(ISNA(VLOOKUP(CONCATENATE(M$31,$K16),PDP8E!$H$5:$M$385,6,0)),"",IF(LEN(VLOOKUP(CONCATENATE(M$31,$K16),PDP8E!$H$5:$M$385,6,0))&lt;1,"",VLOOKUP(CONCATENATE(M$31,$K16),PDP8E!$H$5:$M$385,6,0)))</f>
        <v>Change to Data Field 0</v>
      </c>
      <c r="O44" s="26" t="str">
        <f t="shared" si="1"/>
        <v>KM8-E</v>
      </c>
      <c r="P44" s="8"/>
    </row>
    <row r="45" spans="6:16" x14ac:dyDescent="0.2">
      <c r="J45" s="8"/>
      <c r="K45" s="24">
        <v>12</v>
      </c>
      <c r="L45" s="20">
        <f>IF(ISNA(VLOOKUP(CONCATENATE(M$31,$K17),PDP8E!$H$5:$M$385,2,0)),"",VLOOKUP(CONCATENATE(M$31,$K17),PDP8E!$H$5:$M$385,2,0))</f>
        <v>6202</v>
      </c>
      <c r="M45" s="21" t="str">
        <f>IF(ISNA(VLOOKUP(CONCATENATE(M$31,$K17),PDP8E!$H$5:$M$385,5,0)),"",IF(LEN(VLOOKUP(CONCATENATE(M$31,$K17),PDP8E!$H$5:$M$385,5,0))&lt;1,"",VLOOKUP(CONCATENATE(M$31,$K17),PDP8E!$H$5:$M$385,5,0)))</f>
        <v>CIF 0</v>
      </c>
      <c r="N45" s="22" t="str">
        <f>IF(ISNA(VLOOKUP(CONCATENATE(M$31,$K17),PDP8E!$H$5:$M$385,6,0)),"",IF(LEN(VLOOKUP(CONCATENATE(M$31,$K17),PDP8E!$H$5:$M$385,6,0))&lt;1,"",VLOOKUP(CONCATENATE(M$31,$K17),PDP8E!$H$5:$M$385,6,0)))</f>
        <v>Change to Instruction Field 0</v>
      </c>
      <c r="O45" s="26" t="str">
        <f t="shared" si="1"/>
        <v>KM8-E</v>
      </c>
      <c r="P45" s="8"/>
    </row>
    <row r="46" spans="6:16" x14ac:dyDescent="0.2">
      <c r="J46" s="8"/>
      <c r="K46" s="24">
        <v>13</v>
      </c>
      <c r="L46" s="20">
        <f>IF(ISNA(VLOOKUP(CONCATENATE(M$31,$K18),PDP8E!$H$5:$M$385,2,0)),"",VLOOKUP(CONCATENATE(M$31,$K18),PDP8E!$H$5:$M$385,2,0))</f>
        <v>6203</v>
      </c>
      <c r="M46" s="21" t="str">
        <f>IF(ISNA(VLOOKUP(CONCATENATE(M$31,$K18),PDP8E!$H$5:$M$385,5,0)),"",IF(LEN(VLOOKUP(CONCATENATE(M$31,$K18),PDP8E!$H$5:$M$385,5,0))&lt;1,"",VLOOKUP(CONCATENATE(M$31,$K18),PDP8E!$H$5:$M$385,5,0)))</f>
        <v>CDF 0 ,CIF 0</v>
      </c>
      <c r="N46" s="22" t="str">
        <f>IF(ISNA(VLOOKUP(CONCATENATE(M$31,$K18),PDP8E!$H$5:$M$385,6,0)),"",IF(LEN(VLOOKUP(CONCATENATE(M$31,$K18),PDP8E!$H$5:$M$385,6,0))&lt;1,"",VLOOKUP(CONCATENATE(M$31,$K18),PDP8E!$H$5:$M$385,6,0)))</f>
        <v>Change to Data and Instruction Field 0</v>
      </c>
      <c r="O46" s="26" t="str">
        <f t="shared" si="1"/>
        <v>KM8-E</v>
      </c>
      <c r="P46" s="8"/>
    </row>
    <row r="47" spans="6:16" x14ac:dyDescent="0.2">
      <c r="J47" s="8"/>
      <c r="K47" s="24">
        <v>14</v>
      </c>
      <c r="L47" s="20">
        <f>IF(ISNA(VLOOKUP(CONCATENATE(M$31,$K19),PDP8E!$H$5:$M$385,2,0)),"",VLOOKUP(CONCATENATE(M$31,$K19),PDP8E!$H$5:$M$385,2,0))</f>
        <v>6211</v>
      </c>
      <c r="M47" s="21" t="str">
        <f>IF(ISNA(VLOOKUP(CONCATENATE(M$31,$K19),PDP8E!$H$5:$M$385,5,0)),"",IF(LEN(VLOOKUP(CONCATENATE(M$31,$K19),PDP8E!$H$5:$M$385,5,0))&lt;1,"",VLOOKUP(CONCATENATE(M$31,$K19),PDP8E!$H$5:$M$385,5,0)))</f>
        <v>CDF 1</v>
      </c>
      <c r="N47" s="22" t="str">
        <f>IF(ISNA(VLOOKUP(CONCATENATE(M$31,$K19),PDP8E!$H$5:$M$385,6,0)),"",IF(LEN(VLOOKUP(CONCATENATE(M$31,$K19),PDP8E!$H$5:$M$385,6,0))&lt;1,"",VLOOKUP(CONCATENATE(M$31,$K19),PDP8E!$H$5:$M$385,6,0)))</f>
        <v>Change to Data Field 1</v>
      </c>
      <c r="O47" s="26" t="str">
        <f t="shared" si="1"/>
        <v>KM8-E</v>
      </c>
      <c r="P47" s="8"/>
    </row>
    <row r="48" spans="6:16" x14ac:dyDescent="0.2">
      <c r="J48" s="8"/>
      <c r="K48" s="24">
        <v>15</v>
      </c>
      <c r="L48" s="20">
        <f>IF(ISNA(VLOOKUP(CONCATENATE(M$31,$K20),PDP8E!$H$5:$M$385,2,0)),"",VLOOKUP(CONCATENATE(M$31,$K20),PDP8E!$H$5:$M$385,2,0))</f>
        <v>6212</v>
      </c>
      <c r="M48" s="21" t="str">
        <f>IF(ISNA(VLOOKUP(CONCATENATE(M$31,$K20),PDP8E!$H$5:$M$385,5,0)),"",IF(LEN(VLOOKUP(CONCATENATE(M$31,$K20),PDP8E!$H$5:$M$385,5,0))&lt;1,"",VLOOKUP(CONCATENATE(M$31,$K20),PDP8E!$H$5:$M$385,5,0)))</f>
        <v>CIF 1</v>
      </c>
      <c r="N48" s="22" t="str">
        <f>IF(ISNA(VLOOKUP(CONCATENATE(M$31,$K20),PDP8E!$H$5:$M$385,6,0)),"",IF(LEN(VLOOKUP(CONCATENATE(M$31,$K20),PDP8E!$H$5:$M$385,6,0))&lt;1,"",VLOOKUP(CONCATENATE(M$31,$K20),PDP8E!$H$5:$M$385,6,0)))</f>
        <v>Change to Instruction Field 1</v>
      </c>
      <c r="O48" s="26" t="str">
        <f t="shared" si="1"/>
        <v>KM8-E</v>
      </c>
      <c r="P48" s="8"/>
    </row>
    <row r="49" spans="10:16" x14ac:dyDescent="0.2">
      <c r="J49" s="8"/>
      <c r="K49" s="24">
        <v>16</v>
      </c>
      <c r="L49" s="20">
        <f>IF(ISNA(VLOOKUP(CONCATENATE(M$31,$K21),PDP8E!$H$5:$M$385,2,0)),"",VLOOKUP(CONCATENATE(M$31,$K21),PDP8E!$H$5:$M$385,2,0))</f>
        <v>6213</v>
      </c>
      <c r="M49" s="21" t="str">
        <f>IF(ISNA(VLOOKUP(CONCATENATE(M$31,$K21),PDP8E!$H$5:$M$385,5,0)),"",IF(LEN(VLOOKUP(CONCATENATE(M$31,$K21),PDP8E!$H$5:$M$385,5,0))&lt;1,"",VLOOKUP(CONCATENATE(M$31,$K21),PDP8E!$H$5:$M$385,5,0)))</f>
        <v>CDF 1,CIF 1</v>
      </c>
      <c r="N49" s="22" t="str">
        <f>IF(ISNA(VLOOKUP(CONCATENATE(M$31,$K21),PDP8E!$H$5:$M$385,6,0)),"",IF(LEN(VLOOKUP(CONCATENATE(M$31,$K21),PDP8E!$H$5:$M$385,6,0))&lt;1,"",VLOOKUP(CONCATENATE(M$31,$K21),PDP8E!$H$5:$M$385,6,0)))</f>
        <v>Change to Data and Instruction Field 1</v>
      </c>
      <c r="O49" s="26" t="str">
        <f t="shared" si="1"/>
        <v>KM8-E</v>
      </c>
      <c r="P49" s="8"/>
    </row>
    <row r="50" spans="10:16" x14ac:dyDescent="0.2">
      <c r="J50" s="8"/>
      <c r="K50" s="24">
        <v>17</v>
      </c>
      <c r="L50" s="20">
        <f>IF(ISNA(VLOOKUP(CONCATENATE(M$31,$K22),PDP8E!$H$5:$M$385,2,0)),"",VLOOKUP(CONCATENATE(M$31,$K22),PDP8E!$H$5:$M$385,2,0))</f>
        <v>6221</v>
      </c>
      <c r="M50" s="21" t="str">
        <f>IF(ISNA(VLOOKUP(CONCATENATE(M$31,$K22),PDP8E!$H$5:$M$385,5,0)),"",IF(LEN(VLOOKUP(CONCATENATE(M$31,$K22),PDP8E!$H$5:$M$385,5,0))&lt;1,"",VLOOKUP(CONCATENATE(M$31,$K22),PDP8E!$H$5:$M$385,5,0)))</f>
        <v>CDF 2</v>
      </c>
      <c r="N50" s="22" t="str">
        <f>IF(ISNA(VLOOKUP(CONCATENATE(M$31,$K22),PDP8E!$H$5:$M$385,6,0)),"",IF(LEN(VLOOKUP(CONCATENATE(M$31,$K22),PDP8E!$H$5:$M$385,6,0))&lt;1,"",VLOOKUP(CONCATENATE(M$31,$K22),PDP8E!$H$5:$M$385,6,0)))</f>
        <v>Change to Data Field 2</v>
      </c>
      <c r="O50" s="26" t="str">
        <f t="shared" si="1"/>
        <v>KM8-E</v>
      </c>
      <c r="P50" s="8"/>
    </row>
    <row r="51" spans="10:16" x14ac:dyDescent="0.2">
      <c r="J51" s="8"/>
      <c r="K51" s="24">
        <v>18</v>
      </c>
      <c r="L51" s="20">
        <f>IF(ISNA(VLOOKUP(CONCATENATE(M$31,$K23),PDP8E!$H$5:$M$385,2,0)),"",VLOOKUP(CONCATENATE(M$31,$K23),PDP8E!$H$5:$M$385,2,0))</f>
        <v>6222</v>
      </c>
      <c r="M51" s="21" t="str">
        <f>IF(ISNA(VLOOKUP(CONCATENATE(M$31,$K23),PDP8E!$H$5:$M$385,5,0)),"",IF(LEN(VLOOKUP(CONCATENATE(M$31,$K23),PDP8E!$H$5:$M$385,5,0))&lt;1,"",VLOOKUP(CONCATENATE(M$31,$K23),PDP8E!$H$5:$M$385,5,0)))</f>
        <v>CIF 2</v>
      </c>
      <c r="N51" s="22" t="str">
        <f>IF(ISNA(VLOOKUP(CONCATENATE(M$31,$K23),PDP8E!$H$5:$M$385,6,0)),"",IF(LEN(VLOOKUP(CONCATENATE(M$31,$K23),PDP8E!$H$5:$M$385,6,0))&lt;1,"",VLOOKUP(CONCATENATE(M$31,$K23),PDP8E!$H$5:$M$385,6,0)))</f>
        <v>Change to Instruction Field 2</v>
      </c>
      <c r="O51" s="26" t="str">
        <f t="shared" si="1"/>
        <v>KM8-E</v>
      </c>
      <c r="P51" s="8"/>
    </row>
    <row r="52" spans="10:16" x14ac:dyDescent="0.2">
      <c r="J52" s="8"/>
      <c r="K52" s="24">
        <v>19</v>
      </c>
      <c r="L52" s="20">
        <f>IF(ISNA(VLOOKUP(CONCATENATE(M$31,$K24),PDP8E!$H$5:$M$385,2,0)),"",VLOOKUP(CONCATENATE(M$31,$K24),PDP8E!$H$5:$M$385,2,0))</f>
        <v>6223</v>
      </c>
      <c r="M52" s="21" t="str">
        <f>IF(ISNA(VLOOKUP(CONCATENATE(M$31,$K24),PDP8E!$H$5:$M$385,5,0)),"",IF(LEN(VLOOKUP(CONCATENATE(M$31,$K24),PDP8E!$H$5:$M$385,5,0))&lt;1,"",VLOOKUP(CONCATENATE(M$31,$K24),PDP8E!$H$5:$M$385,5,0)))</f>
        <v>CDF 2,CIF 2</v>
      </c>
      <c r="N52" s="22" t="str">
        <f>IF(ISNA(VLOOKUP(CONCATENATE(M$31,$K24),PDP8E!$H$5:$M$385,6,0)),"",IF(LEN(VLOOKUP(CONCATENATE(M$31,$K24),PDP8E!$H$5:$M$385,6,0))&lt;1,"",VLOOKUP(CONCATENATE(M$31,$K24),PDP8E!$H$5:$M$385,6,0)))</f>
        <v>Change to Data and Instruction Field 2</v>
      </c>
      <c r="O52" s="26" t="str">
        <f t="shared" si="1"/>
        <v>KM8-E</v>
      </c>
      <c r="P52" s="8"/>
    </row>
    <row r="53" spans="10:16" x14ac:dyDescent="0.2">
      <c r="J53" s="8"/>
      <c r="K53" s="24">
        <v>20</v>
      </c>
      <c r="L53" s="20">
        <f>IF(ISNA(VLOOKUP(CONCATENATE(M$31,$K25),PDP8E!$H$5:$M$385,2,0)),"",VLOOKUP(CONCATENATE(M$31,$K25),PDP8E!$H$5:$M$385,2,0))</f>
        <v>6231</v>
      </c>
      <c r="M53" s="21" t="str">
        <f>IF(ISNA(VLOOKUP(CONCATENATE(M$31,$K25),PDP8E!$H$5:$M$385,5,0)),"",IF(LEN(VLOOKUP(CONCATENATE(M$31,$K25),PDP8E!$H$5:$M$385,5,0))&lt;1,"",VLOOKUP(CONCATENATE(M$31,$K25),PDP8E!$H$5:$M$385,5,0)))</f>
        <v>CDF 3</v>
      </c>
      <c r="N53" s="22" t="str">
        <f>IF(ISNA(VLOOKUP(CONCATENATE(M$31,$K25),PDP8E!$H$5:$M$385,6,0)),"",IF(LEN(VLOOKUP(CONCATENATE(M$31,$K25),PDP8E!$H$5:$M$385,6,0))&lt;1,"",VLOOKUP(CONCATENATE(M$31,$K25),PDP8E!$H$5:$M$385,6,0)))</f>
        <v>Change to Data Field 3</v>
      </c>
      <c r="O53" s="26" t="str">
        <f t="shared" si="1"/>
        <v>KM8-E</v>
      </c>
      <c r="P53" s="8"/>
    </row>
    <row r="54" spans="10:16" x14ac:dyDescent="0.2">
      <c r="J54" s="8"/>
      <c r="K54" s="24">
        <v>21</v>
      </c>
      <c r="L54" s="20">
        <f>IF(ISNA(VLOOKUP(CONCATENATE(M$31,$K26),PDP8E!$H$5:$M$385,2,0)),"",VLOOKUP(CONCATENATE(M$31,$K26),PDP8E!$H$5:$M$385,2,0))</f>
        <v>6232</v>
      </c>
      <c r="M54" s="21" t="str">
        <f>IF(ISNA(VLOOKUP(CONCATENATE(M$31,$K26),PDP8E!$H$5:$M$385,5,0)),"",IF(LEN(VLOOKUP(CONCATENATE(M$31,$K26),PDP8E!$H$5:$M$385,5,0))&lt;1,"",VLOOKUP(CONCATENATE(M$31,$K26),PDP8E!$H$5:$M$385,5,0)))</f>
        <v>CIF 3</v>
      </c>
      <c r="N54" s="22" t="str">
        <f>IF(ISNA(VLOOKUP(CONCATENATE(M$31,$K26),PDP8E!$H$5:$M$385,6,0)),"",IF(LEN(VLOOKUP(CONCATENATE(M$31,$K26),PDP8E!$H$5:$M$385,6,0))&lt;1,"",VLOOKUP(CONCATENATE(M$31,$K26),PDP8E!$H$5:$M$385,6,0)))</f>
        <v>Change to Instruction Field 3</v>
      </c>
      <c r="O54" s="26" t="str">
        <f t="shared" si="1"/>
        <v>KM8-E</v>
      </c>
      <c r="P54" s="8"/>
    </row>
    <row r="55" spans="10:16" x14ac:dyDescent="0.2">
      <c r="J55" s="8"/>
      <c r="K55" s="24">
        <v>22</v>
      </c>
      <c r="L55" s="20">
        <f>IF(ISNA(VLOOKUP(CONCATENATE(M$31,$K27),PDP8E!$H$5:$M$385,2,0)),"",VLOOKUP(CONCATENATE(M$31,$K27),PDP8E!$H$5:$M$385,2,0))</f>
        <v>6233</v>
      </c>
      <c r="M55" s="21" t="str">
        <f>IF(ISNA(VLOOKUP(CONCATENATE(M$31,$K27),PDP8E!$H$5:$M$385,5,0)),"",IF(LEN(VLOOKUP(CONCATENATE(M$31,$K27),PDP8E!$H$5:$M$385,5,0))&lt;1,"",VLOOKUP(CONCATENATE(M$31,$K27),PDP8E!$H$5:$M$385,5,0)))</f>
        <v>CDF 3 ,CIF 3</v>
      </c>
      <c r="N55" s="22" t="str">
        <f>IF(ISNA(VLOOKUP(CONCATENATE(M$31,$K27),PDP8E!$H$5:$M$385,6,0)),"",IF(LEN(VLOOKUP(CONCATENATE(M$31,$K27),PDP8E!$H$5:$M$385,6,0))&lt;1,"",VLOOKUP(CONCATENATE(M$31,$K27),PDP8E!$H$5:$M$385,6,0)))</f>
        <v>Change to Data and Instruction Field 3</v>
      </c>
      <c r="O55" s="26" t="str">
        <f t="shared" si="1"/>
        <v>KM8-E</v>
      </c>
      <c r="P55" s="8"/>
    </row>
    <row r="56" spans="10:16" x14ac:dyDescent="0.2">
      <c r="J56" s="8"/>
      <c r="K56" s="24">
        <v>23</v>
      </c>
      <c r="L56" s="20">
        <f>IF(ISNA(VLOOKUP(CONCATENATE(M$31,$K28),PDP8E!$H$5:$M$385,2,0)),"",VLOOKUP(CONCATENATE(M$31,$K28),PDP8E!$H$5:$M$385,2,0))</f>
        <v>6241</v>
      </c>
      <c r="M56" s="21" t="str">
        <f>IF(ISNA(VLOOKUP(CONCATENATE(M$31,$K28),PDP8E!$H$5:$M$385,5,0)),"",IF(LEN(VLOOKUP(CONCATENATE(M$31,$K28),PDP8E!$H$5:$M$385,5,0))&lt;1,"",VLOOKUP(CONCATENATE(M$31,$K28),PDP8E!$H$5:$M$385,5,0)))</f>
        <v>CDF 4</v>
      </c>
      <c r="N56" s="22" t="str">
        <f>IF(ISNA(VLOOKUP(CONCATENATE(M$31,$K28),PDP8E!$H$5:$M$385,6,0)),"",IF(LEN(VLOOKUP(CONCATENATE(M$31,$K28),PDP8E!$H$5:$M$385,6,0))&lt;1,"",VLOOKUP(CONCATENATE(M$31,$K28),PDP8E!$H$5:$M$385,6,0)))</f>
        <v>Change to Data Field 4</v>
      </c>
      <c r="O56" s="26" t="str">
        <f t="shared" si="1"/>
        <v>KM8-E</v>
      </c>
      <c r="P56" s="8"/>
    </row>
    <row r="57" spans="10:16" ht="17" thickBot="1" x14ac:dyDescent="0.25">
      <c r="J57" s="8"/>
      <c r="K57" s="27">
        <v>24</v>
      </c>
      <c r="L57" s="28">
        <f>IF(ISNA(VLOOKUP(CONCATENATE(M$31,$K29),PDP8E!$H$5:$M$385,2,0)),"",VLOOKUP(CONCATENATE(M$31,$K29),PDP8E!$H$5:$M$385,2,0))</f>
        <v>6242</v>
      </c>
      <c r="M57" s="29" t="str">
        <f>IF(ISNA(VLOOKUP(CONCATENATE(M$31,$K29),PDP8E!$H$5:$M$385,5,0)),"",IF(LEN(VLOOKUP(CONCATENATE(M$31,$K29),PDP8E!$H$5:$M$385,5,0))&lt;1,"",VLOOKUP(CONCATENATE(M$31,$K29),PDP8E!$H$5:$M$385,5,0)))</f>
        <v>CIF 4</v>
      </c>
      <c r="N57" s="30" t="str">
        <f>IF(ISNA(VLOOKUP(CONCATENATE(M$31,$K29),PDP8E!$H$5:$M$385,6,0)),"",IF(LEN(VLOOKUP(CONCATENATE(M$31,$K29),PDP8E!$H$5:$M$385,6,0))&lt;1,"",VLOOKUP(CONCATENATE(M$31,$K29),PDP8E!$H$5:$M$385,6,0)))</f>
        <v>Change to Instruction Field 4</v>
      </c>
      <c r="O57" s="31" t="str">
        <f t="shared" si="1"/>
        <v>KM8-E</v>
      </c>
      <c r="P57" s="8"/>
    </row>
    <row r="58" spans="10:16" ht="17" thickBot="1" x14ac:dyDescent="0.25">
      <c r="J58" s="8"/>
      <c r="K58" s="8"/>
      <c r="L58" s="9"/>
      <c r="M58" s="8"/>
      <c r="N58" s="10"/>
      <c r="O58" s="8"/>
      <c r="P58" s="8"/>
    </row>
    <row r="59" spans="10:16" ht="17" thickBot="1" x14ac:dyDescent="0.25">
      <c r="J59" s="8"/>
      <c r="K59" s="8"/>
      <c r="L59" s="11" t="s">
        <v>750</v>
      </c>
      <c r="M59" s="12" t="str">
        <f>$C$5</f>
        <v>KL8-E</v>
      </c>
      <c r="N59" s="13" t="str">
        <f>$D$5</f>
        <v>Asynchronous Data Control</v>
      </c>
      <c r="O59" s="8"/>
      <c r="P59" s="8"/>
    </row>
    <row r="60" spans="10:16" ht="17" thickBot="1" x14ac:dyDescent="0.25">
      <c r="J60" s="8"/>
      <c r="K60" s="8"/>
      <c r="L60" s="9"/>
      <c r="M60" s="9"/>
      <c r="N60" s="9"/>
      <c r="O60" s="8"/>
      <c r="P60" s="8"/>
    </row>
    <row r="61" spans="10:16" ht="17" thickBot="1" x14ac:dyDescent="0.25">
      <c r="J61" s="8"/>
      <c r="K61" s="14"/>
      <c r="L61" s="15" t="s">
        <v>751</v>
      </c>
      <c r="M61" s="16" t="s">
        <v>752</v>
      </c>
      <c r="N61" s="17" t="s">
        <v>82</v>
      </c>
      <c r="O61" s="18"/>
      <c r="P61" s="8"/>
    </row>
    <row r="62" spans="10:16" x14ac:dyDescent="0.2">
      <c r="J62" s="8"/>
      <c r="K62" s="19">
        <v>1</v>
      </c>
      <c r="L62" s="20">
        <f>IF(ISNA(VLOOKUP(CONCATENATE(M$59,$K6),PDP8E!$H$5:$M$385,2,0)),"",VLOOKUP(CONCATENATE(M$59,$K6),PDP8E!$H$5:$M$385,2,0))</f>
        <v>6030</v>
      </c>
      <c r="M62" s="21" t="str">
        <f>IF(ISNA(VLOOKUP(CONCATENATE(M$59,$K6),PDP8E!$H$5:$M$385,5,0)),"",IF(LEN(VLOOKUP(CONCATENATE(M$59,$K6),PDP8E!$H$5:$M$385,5,0))&lt;1,"",VLOOKUP(CONCATENATE(M$59,$K6),PDP8E!$H$5:$M$385,5,0)))</f>
        <v>KCF</v>
      </c>
      <c r="N62" s="22" t="str">
        <f>IF(ISNA(VLOOKUP(CONCATENATE(M$59,$K6),PDP8E!$H$5:$M$385,6,0)),"",IF(LEN(VLOOKUP(CONCATENATE(M$59,$K6),PDP8E!$H$5:$M$385,6,0))&lt;1,"",VLOOKUP(CONCATENATE(M$59,$K6),PDP8E!$H$5:$M$385,6,0)))</f>
        <v>Clear Keyboard Flag</v>
      </c>
      <c r="O62" s="23" t="str">
        <f>IF(LEN(L62)&lt;1,"",$M$59)</f>
        <v>KL8-E</v>
      </c>
      <c r="P62" s="8"/>
    </row>
    <row r="63" spans="10:16" x14ac:dyDescent="0.2">
      <c r="J63" s="8"/>
      <c r="K63" s="24">
        <v>2</v>
      </c>
      <c r="L63" s="20">
        <f>IF(ISNA(VLOOKUP(CONCATENATE(M$59,$K7),PDP8E!$H$5:$M$385,2,0)),"",VLOOKUP(CONCATENATE(M$59,$K7),PDP8E!$H$5:$M$385,2,0))</f>
        <v>6031</v>
      </c>
      <c r="M63" s="21" t="str">
        <f>IF(ISNA(VLOOKUP(CONCATENATE(M$59,$K7),PDP8E!$H$5:$M$385,5,0)),"",IF(LEN(VLOOKUP(CONCATENATE(M$59,$K7),PDP8E!$H$5:$M$385,5,0))&lt;1,"",VLOOKUP(CONCATENATE(M$59,$K7),PDP8E!$H$5:$M$385,5,0)))</f>
        <v>KSF</v>
      </c>
      <c r="N63" s="22" t="str">
        <f>IF(ISNA(VLOOKUP(CONCATENATE(M$59,$K7),PDP8E!$H$5:$M$385,6,0)),"",IF(LEN(VLOOKUP(CONCATENATE(M$59,$K7),PDP8E!$H$5:$M$385,6,0))&lt;1,"",VLOOKUP(CONCATENATE(M$59,$K7),PDP8E!$H$5:$M$385,6,0)))</f>
        <v>Skip on Keyboard Flag</v>
      </c>
      <c r="O63" s="26" t="str">
        <f t="shared" ref="O63:O85" si="2">IF(LEN(L63)&lt;1,"",$M$59)</f>
        <v>KL8-E</v>
      </c>
      <c r="P63" s="8"/>
    </row>
    <row r="64" spans="10:16" x14ac:dyDescent="0.2">
      <c r="J64" s="8"/>
      <c r="K64" s="24">
        <v>3</v>
      </c>
      <c r="L64" s="20">
        <f>IF(ISNA(VLOOKUP(CONCATENATE(M$59,$K8),PDP8E!$H$5:$M$385,2,0)),"",VLOOKUP(CONCATENATE(M$59,$K8),PDP8E!$H$5:$M$385,2,0))</f>
        <v>6032</v>
      </c>
      <c r="M64" s="21" t="str">
        <f>IF(ISNA(VLOOKUP(CONCATENATE(M$59,$K8),PDP8E!$H$5:$M$385,5,0)),"",IF(LEN(VLOOKUP(CONCATENATE(M$59,$K8),PDP8E!$H$5:$M$385,5,0))&lt;1,"",VLOOKUP(CONCATENATE(M$59,$K8),PDP8E!$H$5:$M$385,5,0)))</f>
        <v>KCC</v>
      </c>
      <c r="N64" s="22" t="str">
        <f>IF(ISNA(VLOOKUP(CONCATENATE(M$59,$K8),PDP8E!$H$5:$M$385,6,0)),"",IF(LEN(VLOOKUP(CONCATENATE(M$59,$K8),PDP8E!$H$5:$M$385,6,0))&lt;1,"",VLOOKUP(CONCATENATE(M$59,$K8),PDP8E!$H$5:$M$385,6,0)))</f>
        <v>Clear Keyboard Flag</v>
      </c>
      <c r="O64" s="26" t="str">
        <f t="shared" si="2"/>
        <v>KL8-E</v>
      </c>
      <c r="P64" s="8"/>
    </row>
    <row r="65" spans="10:16" x14ac:dyDescent="0.2">
      <c r="J65" s="8"/>
      <c r="K65" s="24">
        <v>4</v>
      </c>
      <c r="L65" s="20">
        <f>IF(ISNA(VLOOKUP(CONCATENATE(M$59,$K9),PDP8E!$H$5:$M$385,2,0)),"",VLOOKUP(CONCATENATE(M$59,$K9),PDP8E!$H$5:$M$385,2,0))</f>
        <v>6034</v>
      </c>
      <c r="M65" s="21" t="str">
        <f>IF(ISNA(VLOOKUP(CONCATENATE(M$59,$K9),PDP8E!$H$5:$M$385,5,0)),"",IF(LEN(VLOOKUP(CONCATENATE(M$59,$K9),PDP8E!$H$5:$M$385,5,0))&lt;1,"",VLOOKUP(CONCATENATE(M$59,$K9),PDP8E!$H$5:$M$385,5,0)))</f>
        <v>KRS</v>
      </c>
      <c r="N65" s="22" t="str">
        <f>IF(ISNA(VLOOKUP(CONCATENATE(M$59,$K9),PDP8E!$H$5:$M$385,6,0)),"",IF(LEN(VLOOKUP(CONCATENATE(M$59,$K9),PDP8E!$H$5:$M$385,6,0))&lt;1,"",VLOOKUP(CONCATENATE(M$59,$K9),PDP8E!$H$5:$M$385,6,0)))</f>
        <v>Read Keyboard Buffer Static</v>
      </c>
      <c r="O65" s="26" t="str">
        <f t="shared" si="2"/>
        <v>KL8-E</v>
      </c>
      <c r="P65" s="8"/>
    </row>
    <row r="66" spans="10:16" x14ac:dyDescent="0.2">
      <c r="J66" s="8"/>
      <c r="K66" s="24">
        <v>5</v>
      </c>
      <c r="L66" s="20">
        <f>IF(ISNA(VLOOKUP(CONCATENATE(M$59,$K10),PDP8E!$H$5:$M$385,2,0)),"",VLOOKUP(CONCATENATE(M$59,$K10),PDP8E!$H$5:$M$385,2,0))</f>
        <v>6035</v>
      </c>
      <c r="M66" s="21" t="str">
        <f>IF(ISNA(VLOOKUP(CONCATENATE(M$59,$K10),PDP8E!$H$5:$M$385,5,0)),"",IF(LEN(VLOOKUP(CONCATENATE(M$59,$K10),PDP8E!$H$5:$M$385,5,0))&lt;1,"",VLOOKUP(CONCATENATE(M$59,$K10),PDP8E!$H$5:$M$385,5,0)))</f>
        <v>KIE</v>
      </c>
      <c r="N66" s="22" t="str">
        <f>IF(ISNA(VLOOKUP(CONCATENATE(M$59,$K10),PDP8E!$H$5:$M$385,6,0)),"",IF(LEN(VLOOKUP(CONCATENATE(M$59,$K10),PDP8E!$H$5:$M$385,6,0))&lt;1,"",VLOOKUP(CONCATENATE(M$59,$K10),PDP8E!$H$5:$M$385,6,0)))</f>
        <v>Set/Clear Keyboard Interrupt Enable</v>
      </c>
      <c r="O66" s="26" t="str">
        <f t="shared" si="2"/>
        <v>KL8-E</v>
      </c>
      <c r="P66" s="8"/>
    </row>
    <row r="67" spans="10:16" x14ac:dyDescent="0.2">
      <c r="J67" s="8"/>
      <c r="K67" s="24">
        <v>6</v>
      </c>
      <c r="L67" s="20">
        <f>IF(ISNA(VLOOKUP(CONCATENATE(M$59,$K11),PDP8E!$H$5:$M$385,2,0)),"",VLOOKUP(CONCATENATE(M$59,$K11),PDP8E!$H$5:$M$385,2,0))</f>
        <v>6036</v>
      </c>
      <c r="M67" s="21" t="str">
        <f>IF(ISNA(VLOOKUP(CONCATENATE(M$59,$K11),PDP8E!$H$5:$M$385,5,0)),"",IF(LEN(VLOOKUP(CONCATENATE(M$59,$K11),PDP8E!$H$5:$M$385,5,0))&lt;1,"",VLOOKUP(CONCATENATE(M$59,$K11),PDP8E!$H$5:$M$385,5,0)))</f>
        <v>KRB</v>
      </c>
      <c r="N67" s="22" t="str">
        <f>IF(ISNA(VLOOKUP(CONCATENATE(M$59,$K11),PDP8E!$H$5:$M$385,6,0)),"",IF(LEN(VLOOKUP(CONCATENATE(M$59,$K11),PDP8E!$H$5:$M$385,6,0))&lt;1,"",VLOOKUP(CONCATENATE(M$59,$K11),PDP8E!$H$5:$M$385,6,0)))</f>
        <v>Read Keyboard Buffer Dynamic</v>
      </c>
      <c r="O67" s="26" t="str">
        <f t="shared" si="2"/>
        <v>KL8-E</v>
      </c>
      <c r="P67" s="8"/>
    </row>
    <row r="68" spans="10:16" x14ac:dyDescent="0.2">
      <c r="J68" s="8"/>
      <c r="K68" s="24">
        <v>7</v>
      </c>
      <c r="L68" s="20">
        <f>IF(ISNA(VLOOKUP(CONCATENATE(M$59,$K12),PDP8E!$H$5:$M$385,2,0)),"",VLOOKUP(CONCATENATE(M$59,$K12),PDP8E!$H$5:$M$385,2,0))</f>
        <v>6040</v>
      </c>
      <c r="M68" s="21" t="str">
        <f>IF(ISNA(VLOOKUP(CONCATENATE(M$59,$K12),PDP8E!$H$5:$M$385,5,0)),"",IF(LEN(VLOOKUP(CONCATENATE(M$59,$K12),PDP8E!$H$5:$M$385,5,0))&lt;1,"",VLOOKUP(CONCATENATE(M$59,$K12),PDP8E!$H$5:$M$385,5,0)))</f>
        <v>TFL</v>
      </c>
      <c r="N68" s="22" t="str">
        <f>IF(ISNA(VLOOKUP(CONCATENATE(M$59,$K12),PDP8E!$H$5:$M$385,6,0)),"",IF(LEN(VLOOKUP(CONCATENATE(M$59,$K12),PDP8E!$H$5:$M$385,6,0))&lt;1,"",VLOOKUP(CONCATENATE(M$59,$K12),PDP8E!$H$5:$M$385,6,0)))</f>
        <v>Set Teleprinter Flag</v>
      </c>
      <c r="O68" s="26" t="str">
        <f t="shared" si="2"/>
        <v>KL8-E</v>
      </c>
      <c r="P68" s="8"/>
    </row>
    <row r="69" spans="10:16" x14ac:dyDescent="0.2">
      <c r="J69" s="8"/>
      <c r="K69" s="24">
        <v>8</v>
      </c>
      <c r="L69" s="20">
        <f>IF(ISNA(VLOOKUP(CONCATENATE(M$59,$K13),PDP8E!$H$5:$M$385,2,0)),"",VLOOKUP(CONCATENATE(M$59,$K13),PDP8E!$H$5:$M$385,2,0))</f>
        <v>6041</v>
      </c>
      <c r="M69" s="21" t="str">
        <f>IF(ISNA(VLOOKUP(CONCATENATE(M$59,$K13),PDP8E!$H$5:$M$385,5,0)),"",IF(LEN(VLOOKUP(CONCATENATE(M$59,$K13),PDP8E!$H$5:$M$385,5,0))&lt;1,"",VLOOKUP(CONCATENATE(M$59,$K13),PDP8E!$H$5:$M$385,5,0)))</f>
        <v>TSF</v>
      </c>
      <c r="N69" s="22" t="str">
        <f>IF(ISNA(VLOOKUP(CONCATENATE(M$59,$K13),PDP8E!$H$5:$M$385,6,0)),"",IF(LEN(VLOOKUP(CONCATENATE(M$59,$K13),PDP8E!$H$5:$M$385,6,0))&lt;1,"",VLOOKUP(CONCATENATE(M$59,$K13),PDP8E!$H$5:$M$385,6,0)))</f>
        <v>Skip on Teleprinter Flag</v>
      </c>
      <c r="O69" s="26" t="str">
        <f t="shared" si="2"/>
        <v>KL8-E</v>
      </c>
      <c r="P69" s="8"/>
    </row>
    <row r="70" spans="10:16" x14ac:dyDescent="0.2">
      <c r="J70" s="8"/>
      <c r="K70" s="24">
        <v>9</v>
      </c>
      <c r="L70" s="20">
        <f>IF(ISNA(VLOOKUP(CONCATENATE(M$59,$K14),PDP8E!$H$5:$M$385,2,0)),"",VLOOKUP(CONCATENATE(M$59,$K14),PDP8E!$H$5:$M$385,2,0))</f>
        <v>6042</v>
      </c>
      <c r="M70" s="21" t="str">
        <f>IF(ISNA(VLOOKUP(CONCATENATE(M$59,$K14),PDP8E!$H$5:$M$385,5,0)),"",IF(LEN(VLOOKUP(CONCATENATE(M$59,$K14),PDP8E!$H$5:$M$385,5,0))&lt;1,"",VLOOKUP(CONCATENATE(M$59,$K14),PDP8E!$H$5:$M$385,5,0)))</f>
        <v>TCF</v>
      </c>
      <c r="N70" s="22" t="str">
        <f>IF(ISNA(VLOOKUP(CONCATENATE(M$59,$K14),PDP8E!$H$5:$M$385,6,0)),"",IF(LEN(VLOOKUP(CONCATENATE(M$59,$K14),PDP8E!$H$5:$M$385,6,0))&lt;1,"",VLOOKUP(CONCATENATE(M$59,$K14),PDP8E!$H$5:$M$385,6,0)))</f>
        <v>Clear Teleprinter Flag</v>
      </c>
      <c r="O70" s="26" t="str">
        <f t="shared" si="2"/>
        <v>KL8-E</v>
      </c>
      <c r="P70" s="8"/>
    </row>
    <row r="71" spans="10:16" x14ac:dyDescent="0.2">
      <c r="J71" s="8"/>
      <c r="K71" s="24">
        <v>10</v>
      </c>
      <c r="L71" s="20">
        <f>IF(ISNA(VLOOKUP(CONCATENATE(M$59,$K15),PDP8E!$H$5:$M$385,2,0)),"",VLOOKUP(CONCATENATE(M$59,$K15),PDP8E!$H$5:$M$385,2,0))</f>
        <v>6044</v>
      </c>
      <c r="M71" s="21" t="str">
        <f>IF(ISNA(VLOOKUP(CONCATENATE(M$59,$K15),PDP8E!$H$5:$M$385,5,0)),"",IF(LEN(VLOOKUP(CONCATENATE(M$59,$K15),PDP8E!$H$5:$M$385,5,0))&lt;1,"",VLOOKUP(CONCATENATE(M$59,$K15),PDP8E!$H$5:$M$385,5,0)))</f>
        <v>TPC</v>
      </c>
      <c r="N71" s="22" t="str">
        <f>IF(ISNA(VLOOKUP(CONCATENATE(M$59,$K15),PDP8E!$H$5:$M$385,6,0)),"",IF(LEN(VLOOKUP(CONCATENATE(M$59,$K15),PDP8E!$H$5:$M$385,6,0))&lt;1,"",VLOOKUP(CONCATENATE(M$59,$K15),PDP8E!$H$5:$M$385,6,0)))</f>
        <v>Load Teleprinter and Print</v>
      </c>
      <c r="O71" s="26" t="str">
        <f t="shared" si="2"/>
        <v>KL8-E</v>
      </c>
      <c r="P71" s="8"/>
    </row>
    <row r="72" spans="10:16" x14ac:dyDescent="0.2">
      <c r="J72" s="8"/>
      <c r="K72" s="24">
        <v>11</v>
      </c>
      <c r="L72" s="20">
        <f>IF(ISNA(VLOOKUP(CONCATENATE(M$59,$K16),PDP8E!$H$5:$M$385,2,0)),"",VLOOKUP(CONCATENATE(M$59,$K16),PDP8E!$H$5:$M$385,2,0))</f>
        <v>6045</v>
      </c>
      <c r="M72" s="21" t="str">
        <f>IF(ISNA(VLOOKUP(CONCATENATE(M$59,$K16),PDP8E!$H$5:$M$385,5,0)),"",IF(LEN(VLOOKUP(CONCATENATE(M$59,$K16),PDP8E!$H$5:$M$385,5,0))&lt;1,"",VLOOKUP(CONCATENATE(M$59,$K16),PDP8E!$H$5:$M$385,5,0)))</f>
        <v>TSK</v>
      </c>
      <c r="N72" s="22" t="str">
        <f>IF(ISNA(VLOOKUP(CONCATENATE(M$59,$K16),PDP8E!$H$5:$M$385,6,0)),"",IF(LEN(VLOOKUP(CONCATENATE(M$59,$K16),PDP8E!$H$5:$M$385,6,0))&lt;1,"",VLOOKUP(CONCATENATE(M$59,$K16),PDP8E!$H$5:$M$385,6,0)))</f>
        <v>Skip on Keyboard or Printer Flag</v>
      </c>
      <c r="O72" s="26" t="str">
        <f t="shared" si="2"/>
        <v>KL8-E</v>
      </c>
      <c r="P72" s="8"/>
    </row>
    <row r="73" spans="10:16" x14ac:dyDescent="0.2">
      <c r="J73" s="8"/>
      <c r="K73" s="24">
        <v>12</v>
      </c>
      <c r="L73" s="20">
        <f>IF(ISNA(VLOOKUP(CONCATENATE(M$59,$K17),PDP8E!$H$5:$M$385,2,0)),"",VLOOKUP(CONCATENATE(M$59,$K17),PDP8E!$H$5:$M$385,2,0))</f>
        <v>6046</v>
      </c>
      <c r="M73" s="21" t="str">
        <f>IF(ISNA(VLOOKUP(CONCATENATE(M$59,$K17),PDP8E!$H$5:$M$385,5,0)),"",IF(LEN(VLOOKUP(CONCATENATE(M$59,$K17),PDP8E!$H$5:$M$385,5,0))&lt;1,"",VLOOKUP(CONCATENATE(M$59,$K17),PDP8E!$H$5:$M$385,5,0)))</f>
        <v>TLS</v>
      </c>
      <c r="N73" s="22" t="str">
        <f>IF(ISNA(VLOOKUP(CONCATENATE(M$59,$K17),PDP8E!$H$5:$M$385,6,0)),"",IF(LEN(VLOOKUP(CONCATENATE(M$59,$K17),PDP8E!$H$5:$M$385,6,0))&lt;1,"",VLOOKUP(CONCATENATE(M$59,$K17),PDP8E!$H$5:$M$385,6,0)))</f>
        <v>Load Teleprinter Sequence</v>
      </c>
      <c r="O73" s="26" t="str">
        <f t="shared" si="2"/>
        <v>KL8-E</v>
      </c>
      <c r="P73" s="8"/>
    </row>
    <row r="74" spans="10:16" x14ac:dyDescent="0.2">
      <c r="J74" s="8"/>
      <c r="K74" s="24">
        <v>13</v>
      </c>
      <c r="L74" s="20" t="str">
        <f>IF(ISNA(VLOOKUP(CONCATENATE(M$59,$K18),PDP8E!$H$5:$M$385,2,0)),"",VLOOKUP(CONCATENATE(M$59,$K18),PDP8E!$H$5:$M$385,2,0))</f>
        <v/>
      </c>
      <c r="M74" s="21" t="str">
        <f>IF(ISNA(VLOOKUP(CONCATENATE(M$59,$K18),PDP8E!$H$5:$M$385,5,0)),"",IF(LEN(VLOOKUP(CONCATENATE(M$59,$K18),PDP8E!$H$5:$M$385,5,0))&lt;1,"",VLOOKUP(CONCATENATE(M$59,$K18),PDP8E!$H$5:$M$385,5,0)))</f>
        <v/>
      </c>
      <c r="N74" s="22" t="str">
        <f>IF(ISNA(VLOOKUP(CONCATENATE(M$59,$K18),PDP8E!$H$5:$M$385,6,0)),"",IF(LEN(VLOOKUP(CONCATENATE(M$59,$K18),PDP8E!$H$5:$M$385,6,0))&lt;1,"",VLOOKUP(CONCATENATE(M$59,$K18),PDP8E!$H$5:$M$385,6,0)))</f>
        <v/>
      </c>
      <c r="O74" s="26" t="str">
        <f t="shared" si="2"/>
        <v/>
      </c>
      <c r="P74" s="8"/>
    </row>
    <row r="75" spans="10:16" x14ac:dyDescent="0.2">
      <c r="J75" s="8"/>
      <c r="K75" s="24">
        <v>14</v>
      </c>
      <c r="L75" s="20" t="str">
        <f>IF(ISNA(VLOOKUP(CONCATENATE(M$59,$K19),PDP8E!$H$5:$M$385,2,0)),"",VLOOKUP(CONCATENATE(M$59,$K19),PDP8E!$H$5:$M$385,2,0))</f>
        <v/>
      </c>
      <c r="M75" s="21" t="str">
        <f>IF(ISNA(VLOOKUP(CONCATENATE(M$59,$K19),PDP8E!$H$5:$M$385,5,0)),"",IF(LEN(VLOOKUP(CONCATENATE(M$59,$K19),PDP8E!$H$5:$M$385,5,0))&lt;1,"",VLOOKUP(CONCATENATE(M$59,$K19),PDP8E!$H$5:$M$385,5,0)))</f>
        <v/>
      </c>
      <c r="N75" s="22" t="str">
        <f>IF(ISNA(VLOOKUP(CONCATENATE(M$59,$K19),PDP8E!$H$5:$M$385,6,0)),"",IF(LEN(VLOOKUP(CONCATENATE(M$59,$K19),PDP8E!$H$5:$M$385,6,0))&lt;1,"",VLOOKUP(CONCATENATE(M$59,$K19),PDP8E!$H$5:$M$385,6,0)))</f>
        <v/>
      </c>
      <c r="O75" s="26" t="str">
        <f t="shared" si="2"/>
        <v/>
      </c>
      <c r="P75" s="8"/>
    </row>
    <row r="76" spans="10:16" x14ac:dyDescent="0.2">
      <c r="J76" s="8"/>
      <c r="K76" s="24">
        <v>15</v>
      </c>
      <c r="L76" s="20" t="str">
        <f>IF(ISNA(VLOOKUP(CONCATENATE(M$59,$K20),PDP8E!$H$5:$M$385,2,0)),"",VLOOKUP(CONCATENATE(M$59,$K20),PDP8E!$H$5:$M$385,2,0))</f>
        <v/>
      </c>
      <c r="M76" s="21" t="str">
        <f>IF(ISNA(VLOOKUP(CONCATENATE(M$59,$K20),PDP8E!$H$5:$M$385,5,0)),"",IF(LEN(VLOOKUP(CONCATENATE(M$59,$K20),PDP8E!$H$5:$M$385,5,0))&lt;1,"",VLOOKUP(CONCATENATE(M$59,$K20),PDP8E!$H$5:$M$385,5,0)))</f>
        <v/>
      </c>
      <c r="N76" s="22" t="str">
        <f>IF(ISNA(VLOOKUP(CONCATENATE(M$59,$K20),PDP8E!$H$5:$M$385,6,0)),"",IF(LEN(VLOOKUP(CONCATENATE(M$59,$K20),PDP8E!$H$5:$M$385,6,0))&lt;1,"",VLOOKUP(CONCATENATE(M$59,$K20),PDP8E!$H$5:$M$385,6,0)))</f>
        <v/>
      </c>
      <c r="O76" s="26" t="str">
        <f t="shared" si="2"/>
        <v/>
      </c>
      <c r="P76" s="8"/>
    </row>
    <row r="77" spans="10:16" x14ac:dyDescent="0.2">
      <c r="J77" s="8"/>
      <c r="K77" s="24">
        <v>16</v>
      </c>
      <c r="L77" s="20" t="str">
        <f>IF(ISNA(VLOOKUP(CONCATENATE(M$59,$K21),PDP8E!$H$5:$M$385,2,0)),"",VLOOKUP(CONCATENATE(M$59,$K21),PDP8E!$H$5:$M$385,2,0))</f>
        <v/>
      </c>
      <c r="M77" s="21" t="str">
        <f>IF(ISNA(VLOOKUP(CONCATENATE(M$59,$K21),PDP8E!$H$5:$M$385,5,0)),"",IF(LEN(VLOOKUP(CONCATENATE(M$59,$K21),PDP8E!$H$5:$M$385,5,0))&lt;1,"",VLOOKUP(CONCATENATE(M$59,$K21),PDP8E!$H$5:$M$385,5,0)))</f>
        <v/>
      </c>
      <c r="N77" s="22" t="str">
        <f>IF(ISNA(VLOOKUP(CONCATENATE(M$59,$K21),PDP8E!$H$5:$M$385,6,0)),"",IF(LEN(VLOOKUP(CONCATENATE(M$59,$K21),PDP8E!$H$5:$M$385,6,0))&lt;1,"",VLOOKUP(CONCATENATE(M$59,$K21),PDP8E!$H$5:$M$385,6,0)))</f>
        <v/>
      </c>
      <c r="O77" s="26" t="str">
        <f t="shared" si="2"/>
        <v/>
      </c>
      <c r="P77" s="8"/>
    </row>
    <row r="78" spans="10:16" x14ac:dyDescent="0.2">
      <c r="J78" s="8"/>
      <c r="K78" s="24">
        <v>17</v>
      </c>
      <c r="L78" s="20" t="str">
        <f>IF(ISNA(VLOOKUP(CONCATENATE(M$59,$K22),PDP8E!$H$5:$M$385,2,0)),"",VLOOKUP(CONCATENATE(M$59,$K22),PDP8E!$H$5:$M$385,2,0))</f>
        <v/>
      </c>
      <c r="M78" s="21" t="str">
        <f>IF(ISNA(VLOOKUP(CONCATENATE(M$59,$K22),PDP8E!$H$5:$M$385,5,0)),"",IF(LEN(VLOOKUP(CONCATENATE(M$59,$K22),PDP8E!$H$5:$M$385,5,0))&lt;1,"",VLOOKUP(CONCATENATE(M$59,$K22),PDP8E!$H$5:$M$385,5,0)))</f>
        <v/>
      </c>
      <c r="N78" s="22" t="str">
        <f>IF(ISNA(VLOOKUP(CONCATENATE(M$59,$K22),PDP8E!$H$5:$M$385,6,0)),"",IF(LEN(VLOOKUP(CONCATENATE(M$59,$K22),PDP8E!$H$5:$M$385,6,0))&lt;1,"",VLOOKUP(CONCATENATE(M$59,$K22),PDP8E!$H$5:$M$385,6,0)))</f>
        <v/>
      </c>
      <c r="O78" s="26" t="str">
        <f t="shared" si="2"/>
        <v/>
      </c>
      <c r="P78" s="8"/>
    </row>
    <row r="79" spans="10:16" x14ac:dyDescent="0.2">
      <c r="J79" s="8"/>
      <c r="K79" s="24">
        <v>18</v>
      </c>
      <c r="L79" s="20" t="str">
        <f>IF(ISNA(VLOOKUP(CONCATENATE(M$59,$K23),PDP8E!$H$5:$M$385,2,0)),"",VLOOKUP(CONCATENATE(M$59,$K23),PDP8E!$H$5:$M$385,2,0))</f>
        <v/>
      </c>
      <c r="M79" s="21" t="str">
        <f>IF(ISNA(VLOOKUP(CONCATENATE(M$59,$K23),PDP8E!$H$5:$M$385,5,0)),"",IF(LEN(VLOOKUP(CONCATENATE(M$59,$K23),PDP8E!$H$5:$M$385,5,0))&lt;1,"",VLOOKUP(CONCATENATE(M$59,$K23),PDP8E!$H$5:$M$385,5,0)))</f>
        <v/>
      </c>
      <c r="N79" s="22" t="str">
        <f>IF(ISNA(VLOOKUP(CONCATENATE(M$59,$K23),PDP8E!$H$5:$M$385,6,0)),"",IF(LEN(VLOOKUP(CONCATENATE(M$59,$K23),PDP8E!$H$5:$M$385,6,0))&lt;1,"",VLOOKUP(CONCATENATE(M$59,$K23),PDP8E!$H$5:$M$385,6,0)))</f>
        <v/>
      </c>
      <c r="O79" s="26" t="str">
        <f t="shared" si="2"/>
        <v/>
      </c>
      <c r="P79" s="8"/>
    </row>
    <row r="80" spans="10:16" x14ac:dyDescent="0.2">
      <c r="J80" s="8"/>
      <c r="K80" s="24">
        <v>19</v>
      </c>
      <c r="L80" s="20" t="str">
        <f>IF(ISNA(VLOOKUP(CONCATENATE(M$59,$K24),PDP8E!$H$5:$M$385,2,0)),"",VLOOKUP(CONCATENATE(M$59,$K24),PDP8E!$H$5:$M$385,2,0))</f>
        <v/>
      </c>
      <c r="M80" s="21" t="str">
        <f>IF(ISNA(VLOOKUP(CONCATENATE(M$59,$K24),PDP8E!$H$5:$M$385,5,0)),"",IF(LEN(VLOOKUP(CONCATENATE(M$59,$K24),PDP8E!$H$5:$M$385,5,0))&lt;1,"",VLOOKUP(CONCATENATE(M$59,$K24),PDP8E!$H$5:$M$385,5,0)))</f>
        <v/>
      </c>
      <c r="N80" s="22" t="str">
        <f>IF(ISNA(VLOOKUP(CONCATENATE(M$59,$K24),PDP8E!$H$5:$M$385,6,0)),"",IF(LEN(VLOOKUP(CONCATENATE(M$59,$K24),PDP8E!$H$5:$M$385,6,0))&lt;1,"",VLOOKUP(CONCATENATE(M$59,$K24),PDP8E!$H$5:$M$385,6,0)))</f>
        <v/>
      </c>
      <c r="O80" s="26" t="str">
        <f t="shared" si="2"/>
        <v/>
      </c>
      <c r="P80" s="8"/>
    </row>
    <row r="81" spans="10:16" x14ac:dyDescent="0.2">
      <c r="J81" s="8"/>
      <c r="K81" s="24">
        <v>20</v>
      </c>
      <c r="L81" s="20" t="str">
        <f>IF(ISNA(VLOOKUP(CONCATENATE(M$59,$K25),PDP8E!$H$5:$M$385,2,0)),"",VLOOKUP(CONCATENATE(M$59,$K25),PDP8E!$H$5:$M$385,2,0))</f>
        <v/>
      </c>
      <c r="M81" s="21" t="str">
        <f>IF(ISNA(VLOOKUP(CONCATENATE(M$59,$K25),PDP8E!$H$5:$M$385,5,0)),"",IF(LEN(VLOOKUP(CONCATENATE(M$59,$K25),PDP8E!$H$5:$M$385,5,0))&lt;1,"",VLOOKUP(CONCATENATE(M$59,$K25),PDP8E!$H$5:$M$385,5,0)))</f>
        <v/>
      </c>
      <c r="N81" s="22" t="str">
        <f>IF(ISNA(VLOOKUP(CONCATENATE(M$59,$K25),PDP8E!$H$5:$M$385,6,0)),"",IF(LEN(VLOOKUP(CONCATENATE(M$59,$K25),PDP8E!$H$5:$M$385,6,0))&lt;1,"",VLOOKUP(CONCATENATE(M$59,$K25),PDP8E!$H$5:$M$385,6,0)))</f>
        <v/>
      </c>
      <c r="O81" s="26" t="str">
        <f t="shared" si="2"/>
        <v/>
      </c>
      <c r="P81" s="8"/>
    </row>
    <row r="82" spans="10:16" x14ac:dyDescent="0.2">
      <c r="J82" s="8"/>
      <c r="K82" s="24">
        <v>21</v>
      </c>
      <c r="L82" s="20" t="str">
        <f>IF(ISNA(VLOOKUP(CONCATENATE(M$59,$K26),PDP8E!$H$5:$M$385,2,0)),"",VLOOKUP(CONCATENATE(M$59,$K26),PDP8E!$H$5:$M$385,2,0))</f>
        <v/>
      </c>
      <c r="M82" s="21" t="str">
        <f>IF(ISNA(VLOOKUP(CONCATENATE(M$59,$K26),PDP8E!$H$5:$M$385,5,0)),"",IF(LEN(VLOOKUP(CONCATENATE(M$59,$K26),PDP8E!$H$5:$M$385,5,0))&lt;1,"",VLOOKUP(CONCATENATE(M$59,$K26),PDP8E!$H$5:$M$385,5,0)))</f>
        <v/>
      </c>
      <c r="N82" s="22" t="str">
        <f>IF(ISNA(VLOOKUP(CONCATENATE(M$59,$K26),PDP8E!$H$5:$M$385,6,0)),"",IF(LEN(VLOOKUP(CONCATENATE(M$59,$K26),PDP8E!$H$5:$M$385,6,0))&lt;1,"",VLOOKUP(CONCATENATE(M$59,$K26),PDP8E!$H$5:$M$385,6,0)))</f>
        <v/>
      </c>
      <c r="O82" s="26" t="str">
        <f t="shared" si="2"/>
        <v/>
      </c>
      <c r="P82" s="8"/>
    </row>
    <row r="83" spans="10:16" x14ac:dyDescent="0.2">
      <c r="J83" s="8"/>
      <c r="K83" s="24">
        <v>22</v>
      </c>
      <c r="L83" s="20" t="str">
        <f>IF(ISNA(VLOOKUP(CONCATENATE(M$59,$K27),PDP8E!$H$5:$M$385,2,0)),"",VLOOKUP(CONCATENATE(M$59,$K27),PDP8E!$H$5:$M$385,2,0))</f>
        <v/>
      </c>
      <c r="M83" s="21" t="str">
        <f>IF(ISNA(VLOOKUP(CONCATENATE(M$59,$K27),PDP8E!$H$5:$M$385,5,0)),"",IF(LEN(VLOOKUP(CONCATENATE(M$59,$K27),PDP8E!$H$5:$M$385,5,0))&lt;1,"",VLOOKUP(CONCATENATE(M$59,$K27),PDP8E!$H$5:$M$385,5,0)))</f>
        <v/>
      </c>
      <c r="N83" s="22" t="str">
        <f>IF(ISNA(VLOOKUP(CONCATENATE(M$59,$K27),PDP8E!$H$5:$M$385,6,0)),"",IF(LEN(VLOOKUP(CONCATENATE(M$59,$K27),PDP8E!$H$5:$M$385,6,0))&lt;1,"",VLOOKUP(CONCATENATE(M$59,$K27),PDP8E!$H$5:$M$385,6,0)))</f>
        <v/>
      </c>
      <c r="O83" s="26" t="str">
        <f t="shared" si="2"/>
        <v/>
      </c>
      <c r="P83" s="8"/>
    </row>
    <row r="84" spans="10:16" x14ac:dyDescent="0.2">
      <c r="J84" s="8"/>
      <c r="K84" s="24">
        <v>23</v>
      </c>
      <c r="L84" s="20" t="str">
        <f>IF(ISNA(VLOOKUP(CONCATENATE(M$59,$K28),PDP8E!$H$5:$M$385,2,0)),"",VLOOKUP(CONCATENATE(M$59,$K28),PDP8E!$H$5:$M$385,2,0))</f>
        <v/>
      </c>
      <c r="M84" s="21" t="str">
        <f>IF(ISNA(VLOOKUP(CONCATENATE(M$59,$K28),PDP8E!$H$5:$M$385,5,0)),"",IF(LEN(VLOOKUP(CONCATENATE(M$59,$K28),PDP8E!$H$5:$M$385,5,0))&lt;1,"",VLOOKUP(CONCATENATE(M$59,$K28),PDP8E!$H$5:$M$385,5,0)))</f>
        <v/>
      </c>
      <c r="N84" s="22" t="str">
        <f>IF(ISNA(VLOOKUP(CONCATENATE(M$59,$K28),PDP8E!$H$5:$M$385,6,0)),"",IF(LEN(VLOOKUP(CONCATENATE(M$59,$K28),PDP8E!$H$5:$M$385,6,0))&lt;1,"",VLOOKUP(CONCATENATE(M$59,$K28),PDP8E!$H$5:$M$385,6,0)))</f>
        <v/>
      </c>
      <c r="O84" s="26" t="str">
        <f t="shared" si="2"/>
        <v/>
      </c>
      <c r="P84" s="8"/>
    </row>
    <row r="85" spans="10:16" ht="17" thickBot="1" x14ac:dyDescent="0.25">
      <c r="J85" s="8"/>
      <c r="K85" s="27">
        <v>24</v>
      </c>
      <c r="L85" s="28" t="str">
        <f>IF(ISNA(VLOOKUP(CONCATENATE(M$59,$K29),PDP8E!$H$5:$M$385,2,0)),"",VLOOKUP(CONCATENATE(M$59,$K29),PDP8E!$H$5:$M$385,2,0))</f>
        <v/>
      </c>
      <c r="M85" s="29" t="str">
        <f>IF(ISNA(VLOOKUP(CONCATENATE(M$59,$K29),PDP8E!$H$5:$M$385,5,0)),"",IF(LEN(VLOOKUP(CONCATENATE(M$59,$K29),PDP8E!$H$5:$M$385,5,0))&lt;1,"",VLOOKUP(CONCATENATE(M$59,$K29),PDP8E!$H$5:$M$385,5,0)))</f>
        <v/>
      </c>
      <c r="N85" s="30" t="str">
        <f>IF(ISNA(VLOOKUP(CONCATENATE(M$59,$K29),PDP8E!$H$5:$M$385,6,0)),"",IF(LEN(VLOOKUP(CONCATENATE(M$59,$K29),PDP8E!$H$5:$M$385,6,0))&lt;1,"",VLOOKUP(CONCATENATE(M$59,$K29),PDP8E!$H$5:$M$385,6,0)))</f>
        <v/>
      </c>
      <c r="O85" s="31" t="str">
        <f t="shared" si="2"/>
        <v/>
      </c>
      <c r="P85" s="8"/>
    </row>
    <row r="86" spans="10:16" ht="17" thickBot="1" x14ac:dyDescent="0.25">
      <c r="J86" s="8"/>
      <c r="K86" s="8"/>
      <c r="L86" s="9"/>
      <c r="M86" s="8"/>
      <c r="N86" s="10"/>
      <c r="O86" s="8"/>
      <c r="P86" s="8"/>
    </row>
    <row r="87" spans="10:16" ht="17" thickBot="1" x14ac:dyDescent="0.25">
      <c r="J87" s="8"/>
      <c r="K87" s="8"/>
      <c r="L87" s="11" t="s">
        <v>750</v>
      </c>
      <c r="M87" s="12" t="str">
        <f>$C$6</f>
        <v>KP8-E</v>
      </c>
      <c r="N87" s="13" t="str">
        <f>$D$6</f>
        <v>Power Fail Detect</v>
      </c>
      <c r="O87" s="8"/>
      <c r="P87" s="8"/>
    </row>
    <row r="88" spans="10:16" ht="17" thickBot="1" x14ac:dyDescent="0.25">
      <c r="J88" s="8"/>
      <c r="K88" s="8"/>
      <c r="L88" s="9"/>
      <c r="M88" s="9"/>
      <c r="N88" s="9"/>
      <c r="O88" s="8"/>
      <c r="P88" s="8"/>
    </row>
    <row r="89" spans="10:16" ht="17" thickBot="1" x14ac:dyDescent="0.25">
      <c r="J89" s="8"/>
      <c r="K89" s="14"/>
      <c r="L89" s="15" t="s">
        <v>751</v>
      </c>
      <c r="M89" s="16" t="s">
        <v>752</v>
      </c>
      <c r="N89" s="17" t="s">
        <v>82</v>
      </c>
      <c r="O89" s="18"/>
      <c r="P89" s="8"/>
    </row>
    <row r="90" spans="10:16" x14ac:dyDescent="0.2">
      <c r="J90" s="8"/>
      <c r="K90" s="19">
        <v>1</v>
      </c>
      <c r="L90" s="20">
        <f>IF(ISNA(VLOOKUP(CONCATENATE(M$87,$K6),PDP8E!$H$5:$M$385,2,0)),"",VLOOKUP(CONCATENATE(M$87,$K6),PDP8E!$H$5:$M$385,2,0))</f>
        <v>6102</v>
      </c>
      <c r="M90" s="21" t="str">
        <f>IF(ISNA(VLOOKUP(CONCATENATE(M$87,$K6),PDP8E!$H$5:$M$385,5,0)),"",IF(LEN(VLOOKUP(CONCATENATE(M$87,$K6),PDP8E!$H$5:$M$385,5,0))&lt;1,"",VLOOKUP(CONCATENATE(M$87,$K6),PDP8E!$H$5:$M$385,5,0)))</f>
        <v>SPL</v>
      </c>
      <c r="N90" s="22" t="str">
        <f>IF(ISNA(VLOOKUP(CONCATENATE(M$87,$K6),PDP8E!$H$5:$M$385,6,0)),"",IF(LEN(VLOOKUP(CONCATENATE(M$87,$K6),PDP8E!$H$5:$M$385,6,0))&lt;1,"",VLOOKUP(CONCATENATE(M$87,$K6),PDP8E!$H$5:$M$385,6,0)))</f>
        <v>Skip on Low Power</v>
      </c>
      <c r="O90" s="23" t="str">
        <f>IF(LEN(L90)&lt;1,"",$M$87)</f>
        <v>KP8-E</v>
      </c>
      <c r="P90" s="8"/>
    </row>
    <row r="91" spans="10:16" x14ac:dyDescent="0.2">
      <c r="J91" s="8"/>
      <c r="K91" s="24">
        <v>2</v>
      </c>
      <c r="L91" s="20" t="str">
        <f>IF(ISNA(VLOOKUP(CONCATENATE(M$87,$K7),PDP8E!$H$5:$M$385,2,0)),"",VLOOKUP(CONCATENATE(M$87,$K7),PDP8E!$H$5:$M$385,2,0))</f>
        <v/>
      </c>
      <c r="M91" s="21" t="str">
        <f>IF(ISNA(VLOOKUP(CONCATENATE(M$87,$K7),PDP8E!$H$5:$M$385,5,0)),"",IF(LEN(VLOOKUP(CONCATENATE(M$87,$K7),PDP8E!$H$5:$M$385,5,0))&lt;1,"",VLOOKUP(CONCATENATE(M$87,$K7),PDP8E!$H$5:$M$385,5,0)))</f>
        <v/>
      </c>
      <c r="N91" s="22" t="str">
        <f>IF(ISNA(VLOOKUP(CONCATENATE(M$87,$K7),PDP8E!$H$5:$M$385,6,0)),"",IF(LEN(VLOOKUP(CONCATENATE(M$87,$K7),PDP8E!$H$5:$M$385,6,0))&lt;1,"",VLOOKUP(CONCATENATE(M$87,$K7),PDP8E!$H$5:$M$385,6,0)))</f>
        <v/>
      </c>
      <c r="O91" s="26" t="str">
        <f t="shared" ref="O91:O113" si="3">IF(LEN(L91)&lt;1,"",$M$87)</f>
        <v/>
      </c>
      <c r="P91" s="8"/>
    </row>
    <row r="92" spans="10:16" x14ac:dyDescent="0.2">
      <c r="J92" s="8"/>
      <c r="K92" s="24">
        <v>3</v>
      </c>
      <c r="L92" s="20" t="str">
        <f>IF(ISNA(VLOOKUP(CONCATENATE(M$87,$K8),PDP8E!$H$5:$M$385,2,0)),"",VLOOKUP(CONCATENATE(M$87,$K8),PDP8E!$H$5:$M$385,2,0))</f>
        <v/>
      </c>
      <c r="M92" s="21" t="str">
        <f>IF(ISNA(VLOOKUP(CONCATENATE(M$87,$K8),PDP8E!$H$5:$M$385,5,0)),"",IF(LEN(VLOOKUP(CONCATENATE(M$87,$K8),PDP8E!$H$5:$M$385,5,0))&lt;1,"",VLOOKUP(CONCATENATE(M$87,$K8),PDP8E!$H$5:$M$385,5,0)))</f>
        <v/>
      </c>
      <c r="N92" s="22" t="str">
        <f>IF(ISNA(VLOOKUP(CONCATENATE(M$87,$K8),PDP8E!$H$5:$M$385,6,0)),"",IF(LEN(VLOOKUP(CONCATENATE(M$87,$K8),PDP8E!$H$5:$M$385,6,0))&lt;1,"",VLOOKUP(CONCATENATE(M$87,$K8),PDP8E!$H$5:$M$385,6,0)))</f>
        <v/>
      </c>
      <c r="O92" s="26" t="str">
        <f t="shared" si="3"/>
        <v/>
      </c>
      <c r="P92" s="8"/>
    </row>
    <row r="93" spans="10:16" x14ac:dyDescent="0.2">
      <c r="J93" s="8"/>
      <c r="K93" s="24">
        <v>4</v>
      </c>
      <c r="L93" s="20" t="str">
        <f>IF(ISNA(VLOOKUP(CONCATENATE(M$87,$K9),PDP8E!$H$5:$M$385,2,0)),"",VLOOKUP(CONCATENATE(M$87,$K9),PDP8E!$H$5:$M$385,2,0))</f>
        <v/>
      </c>
      <c r="M93" s="21" t="str">
        <f>IF(ISNA(VLOOKUP(CONCATENATE(M$87,$K9),PDP8E!$H$5:$M$385,5,0)),"",IF(LEN(VLOOKUP(CONCATENATE(M$87,$K9),PDP8E!$H$5:$M$385,5,0))&lt;1,"",VLOOKUP(CONCATENATE(M$87,$K9),PDP8E!$H$5:$M$385,5,0)))</f>
        <v/>
      </c>
      <c r="N93" s="22" t="str">
        <f>IF(ISNA(VLOOKUP(CONCATENATE(M$87,$K9),PDP8E!$H$5:$M$385,6,0)),"",IF(LEN(VLOOKUP(CONCATENATE(M$87,$K9),PDP8E!$H$5:$M$385,6,0))&lt;1,"",VLOOKUP(CONCATENATE(M$87,$K9),PDP8E!$H$5:$M$385,6,0)))</f>
        <v/>
      </c>
      <c r="O93" s="26" t="str">
        <f t="shared" si="3"/>
        <v/>
      </c>
      <c r="P93" s="8"/>
    </row>
    <row r="94" spans="10:16" x14ac:dyDescent="0.2">
      <c r="J94" s="8"/>
      <c r="K94" s="24">
        <v>5</v>
      </c>
      <c r="L94" s="20" t="str">
        <f>IF(ISNA(VLOOKUP(CONCATENATE(M$87,$K10),PDP8E!$H$5:$M$385,2,0)),"",VLOOKUP(CONCATENATE(M$87,$K10),PDP8E!$H$5:$M$385,2,0))</f>
        <v/>
      </c>
      <c r="M94" s="21" t="str">
        <f>IF(ISNA(VLOOKUP(CONCATENATE(M$87,$K10),PDP8E!$H$5:$M$385,5,0)),"",IF(LEN(VLOOKUP(CONCATENATE(M$87,$K10),PDP8E!$H$5:$M$385,5,0))&lt;1,"",VLOOKUP(CONCATENATE(M$87,$K10),PDP8E!$H$5:$M$385,5,0)))</f>
        <v/>
      </c>
      <c r="N94" s="22" t="str">
        <f>IF(ISNA(VLOOKUP(CONCATENATE(M$87,$K10),PDP8E!$H$5:$M$385,6,0)),"",IF(LEN(VLOOKUP(CONCATENATE(M$87,$K10),PDP8E!$H$5:$M$385,6,0))&lt;1,"",VLOOKUP(CONCATENATE(M$87,$K10),PDP8E!$H$5:$M$385,6,0)))</f>
        <v/>
      </c>
      <c r="O94" s="26" t="str">
        <f t="shared" si="3"/>
        <v/>
      </c>
      <c r="P94" s="8"/>
    </row>
    <row r="95" spans="10:16" x14ac:dyDescent="0.2">
      <c r="J95" s="8"/>
      <c r="K95" s="24">
        <v>6</v>
      </c>
      <c r="L95" s="20" t="str">
        <f>IF(ISNA(VLOOKUP(CONCATENATE(M$87,$K11),PDP8E!$H$5:$M$385,2,0)),"",VLOOKUP(CONCATENATE(M$87,$K11),PDP8E!$H$5:$M$385,2,0))</f>
        <v/>
      </c>
      <c r="M95" s="21" t="str">
        <f>IF(ISNA(VLOOKUP(CONCATENATE(M$87,$K11),PDP8E!$H$5:$M$385,5,0)),"",IF(LEN(VLOOKUP(CONCATENATE(M$87,$K11),PDP8E!$H$5:$M$385,5,0))&lt;1,"",VLOOKUP(CONCATENATE(M$87,$K11),PDP8E!$H$5:$M$385,5,0)))</f>
        <v/>
      </c>
      <c r="N95" s="22" t="str">
        <f>IF(ISNA(VLOOKUP(CONCATENATE(M$87,$K11),PDP8E!$H$5:$M$385,6,0)),"",IF(LEN(VLOOKUP(CONCATENATE(M$87,$K11),PDP8E!$H$5:$M$385,6,0))&lt;1,"",VLOOKUP(CONCATENATE(M$87,$K11),PDP8E!$H$5:$M$385,6,0)))</f>
        <v/>
      </c>
      <c r="O95" s="26" t="str">
        <f t="shared" si="3"/>
        <v/>
      </c>
      <c r="P95" s="8"/>
    </row>
    <row r="96" spans="10:16" x14ac:dyDescent="0.2">
      <c r="J96" s="8"/>
      <c r="K96" s="24">
        <v>7</v>
      </c>
      <c r="L96" s="20" t="str">
        <f>IF(ISNA(VLOOKUP(CONCATENATE(M$87,$K12),PDP8E!$H$5:$M$385,2,0)),"",VLOOKUP(CONCATENATE(M$87,$K12),PDP8E!$H$5:$M$385,2,0))</f>
        <v/>
      </c>
      <c r="M96" s="21" t="str">
        <f>IF(ISNA(VLOOKUP(CONCATENATE(M$87,$K12),PDP8E!$H$5:$M$385,5,0)),"",IF(LEN(VLOOKUP(CONCATENATE(M$87,$K12),PDP8E!$H$5:$M$385,5,0))&lt;1,"",VLOOKUP(CONCATENATE(M$87,$K12),PDP8E!$H$5:$M$385,5,0)))</f>
        <v/>
      </c>
      <c r="N96" s="22" t="str">
        <f>IF(ISNA(VLOOKUP(CONCATENATE(M$87,$K12),PDP8E!$H$5:$M$385,6,0)),"",IF(LEN(VLOOKUP(CONCATENATE(M$87,$K12),PDP8E!$H$5:$M$385,6,0))&lt;1,"",VLOOKUP(CONCATENATE(M$87,$K12),PDP8E!$H$5:$M$385,6,0)))</f>
        <v/>
      </c>
      <c r="O96" s="26" t="str">
        <f t="shared" si="3"/>
        <v/>
      </c>
      <c r="P96" s="8"/>
    </row>
    <row r="97" spans="10:16" x14ac:dyDescent="0.2">
      <c r="J97" s="8"/>
      <c r="K97" s="24">
        <v>8</v>
      </c>
      <c r="L97" s="20" t="str">
        <f>IF(ISNA(VLOOKUP(CONCATENATE(M$87,$K13),PDP8E!$H$5:$M$385,2,0)),"",VLOOKUP(CONCATENATE(M$87,$K13),PDP8E!$H$5:$M$385,2,0))</f>
        <v/>
      </c>
      <c r="M97" s="21" t="str">
        <f>IF(ISNA(VLOOKUP(CONCATENATE(M$87,$K13),PDP8E!$H$5:$M$385,5,0)),"",IF(LEN(VLOOKUP(CONCATENATE(M$87,$K13),PDP8E!$H$5:$M$385,5,0))&lt;1,"",VLOOKUP(CONCATENATE(M$87,$K13),PDP8E!$H$5:$M$385,5,0)))</f>
        <v/>
      </c>
      <c r="N97" s="22" t="str">
        <f>IF(ISNA(VLOOKUP(CONCATENATE(M$87,$K13),PDP8E!$H$5:$M$385,6,0)),"",IF(LEN(VLOOKUP(CONCATENATE(M$87,$K13),PDP8E!$H$5:$M$385,6,0))&lt;1,"",VLOOKUP(CONCATENATE(M$87,$K13),PDP8E!$H$5:$M$385,6,0)))</f>
        <v/>
      </c>
      <c r="O97" s="26" t="str">
        <f t="shared" si="3"/>
        <v/>
      </c>
      <c r="P97" s="8"/>
    </row>
    <row r="98" spans="10:16" x14ac:dyDescent="0.2">
      <c r="J98" s="8"/>
      <c r="K98" s="24">
        <v>9</v>
      </c>
      <c r="L98" s="20" t="str">
        <f>IF(ISNA(VLOOKUP(CONCATENATE(M$87,$K14),PDP8E!$H$5:$M$385,2,0)),"",VLOOKUP(CONCATENATE(M$87,$K14),PDP8E!$H$5:$M$385,2,0))</f>
        <v/>
      </c>
      <c r="M98" s="21" t="str">
        <f>IF(ISNA(VLOOKUP(CONCATENATE(M$87,$K14),PDP8E!$H$5:$M$385,5,0)),"",IF(LEN(VLOOKUP(CONCATENATE(M$87,$K14),PDP8E!$H$5:$M$385,5,0))&lt;1,"",VLOOKUP(CONCATENATE(M$87,$K14),PDP8E!$H$5:$M$385,5,0)))</f>
        <v/>
      </c>
      <c r="N98" s="22" t="str">
        <f>IF(ISNA(VLOOKUP(CONCATENATE(M$87,$K14),PDP8E!$H$5:$M$385,6,0)),"",IF(LEN(VLOOKUP(CONCATENATE(M$87,$K14),PDP8E!$H$5:$M$385,6,0))&lt;1,"",VLOOKUP(CONCATENATE(M$87,$K14),PDP8E!$H$5:$M$385,6,0)))</f>
        <v/>
      </c>
      <c r="O98" s="26" t="str">
        <f t="shared" si="3"/>
        <v/>
      </c>
      <c r="P98" s="8"/>
    </row>
    <row r="99" spans="10:16" x14ac:dyDescent="0.2">
      <c r="J99" s="8"/>
      <c r="K99" s="24">
        <v>10</v>
      </c>
      <c r="L99" s="20" t="str">
        <f>IF(ISNA(VLOOKUP(CONCATENATE(M$87,$K15),PDP8E!$H$5:$M$385,2,0)),"",VLOOKUP(CONCATENATE(M$87,$K15),PDP8E!$H$5:$M$385,2,0))</f>
        <v/>
      </c>
      <c r="M99" s="21" t="str">
        <f>IF(ISNA(VLOOKUP(CONCATENATE(M$87,$K15),PDP8E!$H$5:$M$385,5,0)),"",IF(LEN(VLOOKUP(CONCATENATE(M$87,$K15),PDP8E!$H$5:$M$385,5,0))&lt;1,"",VLOOKUP(CONCATENATE(M$87,$K15),PDP8E!$H$5:$M$385,5,0)))</f>
        <v/>
      </c>
      <c r="N99" s="22" t="str">
        <f>IF(ISNA(VLOOKUP(CONCATENATE(M$87,$K15),PDP8E!$H$5:$M$385,6,0)),"",IF(LEN(VLOOKUP(CONCATENATE(M$87,$K15),PDP8E!$H$5:$M$385,6,0))&lt;1,"",VLOOKUP(CONCATENATE(M$87,$K15),PDP8E!$H$5:$M$385,6,0)))</f>
        <v/>
      </c>
      <c r="O99" s="26" t="str">
        <f t="shared" si="3"/>
        <v/>
      </c>
      <c r="P99" s="8"/>
    </row>
    <row r="100" spans="10:16" x14ac:dyDescent="0.2">
      <c r="J100" s="8"/>
      <c r="K100" s="24">
        <v>11</v>
      </c>
      <c r="L100" s="20" t="str">
        <f>IF(ISNA(VLOOKUP(CONCATENATE(M$87,$K16),PDP8E!$H$5:$M$385,2,0)),"",VLOOKUP(CONCATENATE(M$87,$K16),PDP8E!$H$5:$M$385,2,0))</f>
        <v/>
      </c>
      <c r="M100" s="21" t="str">
        <f>IF(ISNA(VLOOKUP(CONCATENATE(M$87,$K16),PDP8E!$H$5:$M$385,5,0)),"",IF(LEN(VLOOKUP(CONCATENATE(M$87,$K16),PDP8E!$H$5:$M$385,5,0))&lt;1,"",VLOOKUP(CONCATENATE(M$87,$K16),PDP8E!$H$5:$M$385,5,0)))</f>
        <v/>
      </c>
      <c r="N100" s="22" t="str">
        <f>IF(ISNA(VLOOKUP(CONCATENATE(M$87,$K16),PDP8E!$H$5:$M$385,6,0)),"",IF(LEN(VLOOKUP(CONCATENATE(M$87,$K16),PDP8E!$H$5:$M$385,6,0))&lt;1,"",VLOOKUP(CONCATENATE(M$87,$K16),PDP8E!$H$5:$M$385,6,0)))</f>
        <v/>
      </c>
      <c r="O100" s="26" t="str">
        <f t="shared" si="3"/>
        <v/>
      </c>
      <c r="P100" s="8"/>
    </row>
    <row r="101" spans="10:16" x14ac:dyDescent="0.2">
      <c r="J101" s="8"/>
      <c r="K101" s="24">
        <v>12</v>
      </c>
      <c r="L101" s="20" t="str">
        <f>IF(ISNA(VLOOKUP(CONCATENATE(M$87,$K17),PDP8E!$H$5:$M$385,2,0)),"",VLOOKUP(CONCATENATE(M$87,$K17),PDP8E!$H$5:$M$385,2,0))</f>
        <v/>
      </c>
      <c r="M101" s="21" t="str">
        <f>IF(ISNA(VLOOKUP(CONCATENATE(M$87,$K17),PDP8E!$H$5:$M$385,5,0)),"",IF(LEN(VLOOKUP(CONCATENATE(M$87,$K17),PDP8E!$H$5:$M$385,5,0))&lt;1,"",VLOOKUP(CONCATENATE(M$87,$K17),PDP8E!$H$5:$M$385,5,0)))</f>
        <v/>
      </c>
      <c r="N101" s="22" t="str">
        <f>IF(ISNA(VLOOKUP(CONCATENATE(M$87,$K17),PDP8E!$H$5:$M$385,6,0)),"",IF(LEN(VLOOKUP(CONCATENATE(M$87,$K17),PDP8E!$H$5:$M$385,6,0))&lt;1,"",VLOOKUP(CONCATENATE(M$87,$K17),PDP8E!$H$5:$M$385,6,0)))</f>
        <v/>
      </c>
      <c r="O101" s="26" t="str">
        <f t="shared" si="3"/>
        <v/>
      </c>
      <c r="P101" s="8"/>
    </row>
    <row r="102" spans="10:16" x14ac:dyDescent="0.2">
      <c r="J102" s="8"/>
      <c r="K102" s="24">
        <v>13</v>
      </c>
      <c r="L102" s="20" t="str">
        <f>IF(ISNA(VLOOKUP(CONCATENATE(M$87,$K18),PDP8E!$H$5:$M$385,2,0)),"",VLOOKUP(CONCATENATE(M$87,$K18),PDP8E!$H$5:$M$385,2,0))</f>
        <v/>
      </c>
      <c r="M102" s="21" t="str">
        <f>IF(ISNA(VLOOKUP(CONCATENATE(M$87,$K18),PDP8E!$H$5:$M$385,5,0)),"",IF(LEN(VLOOKUP(CONCATENATE(M$87,$K18),PDP8E!$H$5:$M$385,5,0))&lt;1,"",VLOOKUP(CONCATENATE(M$87,$K18),PDP8E!$H$5:$M$385,5,0)))</f>
        <v/>
      </c>
      <c r="N102" s="22" t="str">
        <f>IF(ISNA(VLOOKUP(CONCATENATE(M$87,$K18),PDP8E!$H$5:$M$385,6,0)),"",IF(LEN(VLOOKUP(CONCATENATE(M$87,$K18),PDP8E!$H$5:$M$385,6,0))&lt;1,"",VLOOKUP(CONCATENATE(M$87,$K18),PDP8E!$H$5:$M$385,6,0)))</f>
        <v/>
      </c>
      <c r="O102" s="26" t="str">
        <f t="shared" si="3"/>
        <v/>
      </c>
      <c r="P102" s="8"/>
    </row>
    <row r="103" spans="10:16" x14ac:dyDescent="0.2">
      <c r="J103" s="8"/>
      <c r="K103" s="24">
        <v>14</v>
      </c>
      <c r="L103" s="20" t="str">
        <f>IF(ISNA(VLOOKUP(CONCATENATE(M$87,$K19),PDP8E!$H$5:$M$385,2,0)),"",VLOOKUP(CONCATENATE(M$87,$K19),PDP8E!$H$5:$M$385,2,0))</f>
        <v/>
      </c>
      <c r="M103" s="21" t="str">
        <f>IF(ISNA(VLOOKUP(CONCATENATE(M$87,$K19),PDP8E!$H$5:$M$385,5,0)),"",IF(LEN(VLOOKUP(CONCATENATE(M$87,$K19),PDP8E!$H$5:$M$385,5,0))&lt;1,"",VLOOKUP(CONCATENATE(M$87,$K19),PDP8E!$H$5:$M$385,5,0)))</f>
        <v/>
      </c>
      <c r="N103" s="22" t="str">
        <f>IF(ISNA(VLOOKUP(CONCATENATE(M$87,$K19),PDP8E!$H$5:$M$385,6,0)),"",IF(LEN(VLOOKUP(CONCATENATE(M$87,$K19),PDP8E!$H$5:$M$385,6,0))&lt;1,"",VLOOKUP(CONCATENATE(M$87,$K19),PDP8E!$H$5:$M$385,6,0)))</f>
        <v/>
      </c>
      <c r="O103" s="26" t="str">
        <f t="shared" si="3"/>
        <v/>
      </c>
      <c r="P103" s="8"/>
    </row>
    <row r="104" spans="10:16" x14ac:dyDescent="0.2">
      <c r="J104" s="8"/>
      <c r="K104" s="24">
        <v>15</v>
      </c>
      <c r="L104" s="20" t="str">
        <f>IF(ISNA(VLOOKUP(CONCATENATE(M$87,$K20),PDP8E!$H$5:$M$385,2,0)),"",VLOOKUP(CONCATENATE(M$87,$K20),PDP8E!$H$5:$M$385,2,0))</f>
        <v/>
      </c>
      <c r="M104" s="21" t="str">
        <f>IF(ISNA(VLOOKUP(CONCATENATE(M$87,$K20),PDP8E!$H$5:$M$385,5,0)),"",IF(LEN(VLOOKUP(CONCATENATE(M$87,$K20),PDP8E!$H$5:$M$385,5,0))&lt;1,"",VLOOKUP(CONCATENATE(M$87,$K20),PDP8E!$H$5:$M$385,5,0)))</f>
        <v/>
      </c>
      <c r="N104" s="22" t="str">
        <f>IF(ISNA(VLOOKUP(CONCATENATE(M$87,$K20),PDP8E!$H$5:$M$385,6,0)),"",IF(LEN(VLOOKUP(CONCATENATE(M$87,$K20),PDP8E!$H$5:$M$385,6,0))&lt;1,"",VLOOKUP(CONCATENATE(M$87,$K20),PDP8E!$H$5:$M$385,6,0)))</f>
        <v/>
      </c>
      <c r="O104" s="26" t="str">
        <f t="shared" si="3"/>
        <v/>
      </c>
      <c r="P104" s="8"/>
    </row>
    <row r="105" spans="10:16" x14ac:dyDescent="0.2">
      <c r="J105" s="8"/>
      <c r="K105" s="24">
        <v>16</v>
      </c>
      <c r="L105" s="20" t="str">
        <f>IF(ISNA(VLOOKUP(CONCATENATE(M$87,$K21),PDP8E!$H$5:$M$385,2,0)),"",VLOOKUP(CONCATENATE(M$87,$K21),PDP8E!$H$5:$M$385,2,0))</f>
        <v/>
      </c>
      <c r="M105" s="21" t="str">
        <f>IF(ISNA(VLOOKUP(CONCATENATE(M$87,$K21),PDP8E!$H$5:$M$385,5,0)),"",IF(LEN(VLOOKUP(CONCATENATE(M$87,$K21),PDP8E!$H$5:$M$385,5,0))&lt;1,"",VLOOKUP(CONCATENATE(M$87,$K21),PDP8E!$H$5:$M$385,5,0)))</f>
        <v/>
      </c>
      <c r="N105" s="22" t="str">
        <f>IF(ISNA(VLOOKUP(CONCATENATE(M$87,$K21),PDP8E!$H$5:$M$385,6,0)),"",IF(LEN(VLOOKUP(CONCATENATE(M$87,$K21),PDP8E!$H$5:$M$385,6,0))&lt;1,"",VLOOKUP(CONCATENATE(M$87,$K21),PDP8E!$H$5:$M$385,6,0)))</f>
        <v/>
      </c>
      <c r="O105" s="26" t="str">
        <f t="shared" si="3"/>
        <v/>
      </c>
      <c r="P105" s="8"/>
    </row>
    <row r="106" spans="10:16" x14ac:dyDescent="0.2">
      <c r="J106" s="8"/>
      <c r="K106" s="24">
        <v>17</v>
      </c>
      <c r="L106" s="20" t="str">
        <f>IF(ISNA(VLOOKUP(CONCATENATE(M$87,$K22),PDP8E!$H$5:$M$385,2,0)),"",VLOOKUP(CONCATENATE(M$87,$K22),PDP8E!$H$5:$M$385,2,0))</f>
        <v/>
      </c>
      <c r="M106" s="21" t="str">
        <f>IF(ISNA(VLOOKUP(CONCATENATE(M$87,$K22),PDP8E!$H$5:$M$385,5,0)),"",IF(LEN(VLOOKUP(CONCATENATE(M$87,$K22),PDP8E!$H$5:$M$385,5,0))&lt;1,"",VLOOKUP(CONCATENATE(M$87,$K22),PDP8E!$H$5:$M$385,5,0)))</f>
        <v/>
      </c>
      <c r="N106" s="22" t="str">
        <f>IF(ISNA(VLOOKUP(CONCATENATE(M$87,$K22),PDP8E!$H$5:$M$385,6,0)),"",IF(LEN(VLOOKUP(CONCATENATE(M$87,$K22),PDP8E!$H$5:$M$385,6,0))&lt;1,"",VLOOKUP(CONCATENATE(M$87,$K22),PDP8E!$H$5:$M$385,6,0)))</f>
        <v/>
      </c>
      <c r="O106" s="26" t="str">
        <f t="shared" si="3"/>
        <v/>
      </c>
      <c r="P106" s="8"/>
    </row>
    <row r="107" spans="10:16" x14ac:dyDescent="0.2">
      <c r="J107" s="8"/>
      <c r="K107" s="24">
        <v>18</v>
      </c>
      <c r="L107" s="20" t="str">
        <f>IF(ISNA(VLOOKUP(CONCATENATE(M$87,$K23),PDP8E!$H$5:$M$385,2,0)),"",VLOOKUP(CONCATENATE(M$87,$K23),PDP8E!$H$5:$M$385,2,0))</f>
        <v/>
      </c>
      <c r="M107" s="21" t="str">
        <f>IF(ISNA(VLOOKUP(CONCATENATE(M$87,$K23),PDP8E!$H$5:$M$385,5,0)),"",IF(LEN(VLOOKUP(CONCATENATE(M$87,$K23),PDP8E!$H$5:$M$385,5,0))&lt;1,"",VLOOKUP(CONCATENATE(M$87,$K23),PDP8E!$H$5:$M$385,5,0)))</f>
        <v/>
      </c>
      <c r="N107" s="22" t="str">
        <f>IF(ISNA(VLOOKUP(CONCATENATE(M$87,$K23),PDP8E!$H$5:$M$385,6,0)),"",IF(LEN(VLOOKUP(CONCATENATE(M$87,$K23),PDP8E!$H$5:$M$385,6,0))&lt;1,"",VLOOKUP(CONCATENATE(M$87,$K23),PDP8E!$H$5:$M$385,6,0)))</f>
        <v/>
      </c>
      <c r="O107" s="26" t="str">
        <f t="shared" si="3"/>
        <v/>
      </c>
      <c r="P107" s="8"/>
    </row>
    <row r="108" spans="10:16" x14ac:dyDescent="0.2">
      <c r="J108" s="8"/>
      <c r="K108" s="24">
        <v>19</v>
      </c>
      <c r="L108" s="20" t="str">
        <f>IF(ISNA(VLOOKUP(CONCATENATE(M$87,$K24),PDP8E!$H$5:$M$385,2,0)),"",VLOOKUP(CONCATENATE(M$87,$K24),PDP8E!$H$5:$M$385,2,0))</f>
        <v/>
      </c>
      <c r="M108" s="21" t="str">
        <f>IF(ISNA(VLOOKUP(CONCATENATE(M$87,$K24),PDP8E!$H$5:$M$385,5,0)),"",IF(LEN(VLOOKUP(CONCATENATE(M$87,$K24),PDP8E!$H$5:$M$385,5,0))&lt;1,"",VLOOKUP(CONCATENATE(M$87,$K24),PDP8E!$H$5:$M$385,5,0)))</f>
        <v/>
      </c>
      <c r="N108" s="22" t="str">
        <f>IF(ISNA(VLOOKUP(CONCATENATE(M$87,$K24),PDP8E!$H$5:$M$385,6,0)),"",IF(LEN(VLOOKUP(CONCATENATE(M$87,$K24),PDP8E!$H$5:$M$385,6,0))&lt;1,"",VLOOKUP(CONCATENATE(M$87,$K24),PDP8E!$H$5:$M$385,6,0)))</f>
        <v/>
      </c>
      <c r="O108" s="26" t="str">
        <f t="shared" si="3"/>
        <v/>
      </c>
      <c r="P108" s="8"/>
    </row>
    <row r="109" spans="10:16" x14ac:dyDescent="0.2">
      <c r="J109" s="8"/>
      <c r="K109" s="24">
        <v>20</v>
      </c>
      <c r="L109" s="20" t="str">
        <f>IF(ISNA(VLOOKUP(CONCATENATE(M$87,$K25),PDP8E!$H$5:$M$385,2,0)),"",VLOOKUP(CONCATENATE(M$87,$K25),PDP8E!$H$5:$M$385,2,0))</f>
        <v/>
      </c>
      <c r="M109" s="21" t="str">
        <f>IF(ISNA(VLOOKUP(CONCATENATE(M$87,$K25),PDP8E!$H$5:$M$385,5,0)),"",IF(LEN(VLOOKUP(CONCATENATE(M$87,$K25),PDP8E!$H$5:$M$385,5,0))&lt;1,"",VLOOKUP(CONCATENATE(M$87,$K25),PDP8E!$H$5:$M$385,5,0)))</f>
        <v/>
      </c>
      <c r="N109" s="22" t="str">
        <f>IF(ISNA(VLOOKUP(CONCATENATE(M$87,$K25),PDP8E!$H$5:$M$385,6,0)),"",IF(LEN(VLOOKUP(CONCATENATE(M$87,$K25),PDP8E!$H$5:$M$385,6,0))&lt;1,"",VLOOKUP(CONCATENATE(M$87,$K25),PDP8E!$H$5:$M$385,6,0)))</f>
        <v/>
      </c>
      <c r="O109" s="26" t="str">
        <f t="shared" si="3"/>
        <v/>
      </c>
      <c r="P109" s="8"/>
    </row>
    <row r="110" spans="10:16" x14ac:dyDescent="0.2">
      <c r="J110" s="8"/>
      <c r="K110" s="24">
        <v>21</v>
      </c>
      <c r="L110" s="20" t="str">
        <f>IF(ISNA(VLOOKUP(CONCATENATE(M$87,$K26),PDP8E!$H$5:$M$385,2,0)),"",VLOOKUP(CONCATENATE(M$87,$K26),PDP8E!$H$5:$M$385,2,0))</f>
        <v/>
      </c>
      <c r="M110" s="21" t="str">
        <f>IF(ISNA(VLOOKUP(CONCATENATE(M$87,$K26),PDP8E!$H$5:$M$385,5,0)),"",IF(LEN(VLOOKUP(CONCATENATE(M$87,$K26),PDP8E!$H$5:$M$385,5,0))&lt;1,"",VLOOKUP(CONCATENATE(M$87,$K26),PDP8E!$H$5:$M$385,5,0)))</f>
        <v/>
      </c>
      <c r="N110" s="22" t="str">
        <f>IF(ISNA(VLOOKUP(CONCATENATE(M$87,$K26),PDP8E!$H$5:$M$385,6,0)),"",IF(LEN(VLOOKUP(CONCATENATE(M$87,$K26),PDP8E!$H$5:$M$385,6,0))&lt;1,"",VLOOKUP(CONCATENATE(M$87,$K26),PDP8E!$H$5:$M$385,6,0)))</f>
        <v/>
      </c>
      <c r="O110" s="26" t="str">
        <f t="shared" si="3"/>
        <v/>
      </c>
      <c r="P110" s="8"/>
    </row>
    <row r="111" spans="10:16" x14ac:dyDescent="0.2">
      <c r="J111" s="8"/>
      <c r="K111" s="24">
        <v>22</v>
      </c>
      <c r="L111" s="20" t="str">
        <f>IF(ISNA(VLOOKUP(CONCATENATE(M$87,$K27),PDP8E!$H$5:$M$385,2,0)),"",VLOOKUP(CONCATENATE(M$87,$K27),PDP8E!$H$5:$M$385,2,0))</f>
        <v/>
      </c>
      <c r="M111" s="21" t="str">
        <f>IF(ISNA(VLOOKUP(CONCATENATE(M$87,$K27),PDP8E!$H$5:$M$385,5,0)),"",IF(LEN(VLOOKUP(CONCATENATE(M$87,$K27),PDP8E!$H$5:$M$385,5,0))&lt;1,"",VLOOKUP(CONCATENATE(M$87,$K27),PDP8E!$H$5:$M$385,5,0)))</f>
        <v/>
      </c>
      <c r="N111" s="22" t="str">
        <f>IF(ISNA(VLOOKUP(CONCATENATE(M$87,$K27),PDP8E!$H$5:$M$385,6,0)),"",IF(LEN(VLOOKUP(CONCATENATE(M$87,$K27),PDP8E!$H$5:$M$385,6,0))&lt;1,"",VLOOKUP(CONCATENATE(M$87,$K27),PDP8E!$H$5:$M$385,6,0)))</f>
        <v/>
      </c>
      <c r="O111" s="26" t="str">
        <f t="shared" si="3"/>
        <v/>
      </c>
      <c r="P111" s="8"/>
    </row>
    <row r="112" spans="10:16" x14ac:dyDescent="0.2">
      <c r="J112" s="8"/>
      <c r="K112" s="24">
        <v>23</v>
      </c>
      <c r="L112" s="20" t="str">
        <f>IF(ISNA(VLOOKUP(CONCATENATE(M$87,$K28),PDP8E!$H$5:$M$385,2,0)),"",VLOOKUP(CONCATENATE(M$87,$K28),PDP8E!$H$5:$M$385,2,0))</f>
        <v/>
      </c>
      <c r="M112" s="21" t="str">
        <f>IF(ISNA(VLOOKUP(CONCATENATE(M$87,$K28),PDP8E!$H$5:$M$385,5,0)),"",IF(LEN(VLOOKUP(CONCATENATE(M$87,$K28),PDP8E!$H$5:$M$385,5,0))&lt;1,"",VLOOKUP(CONCATENATE(M$87,$K28),PDP8E!$H$5:$M$385,5,0)))</f>
        <v/>
      </c>
      <c r="N112" s="22" t="str">
        <f>IF(ISNA(VLOOKUP(CONCATENATE(M$87,$K28),PDP8E!$H$5:$M$385,6,0)),"",IF(LEN(VLOOKUP(CONCATENATE(M$87,$K28),PDP8E!$H$5:$M$385,6,0))&lt;1,"",VLOOKUP(CONCATENATE(M$87,$K28),PDP8E!$H$5:$M$385,6,0)))</f>
        <v/>
      </c>
      <c r="O112" s="26" t="str">
        <f t="shared" si="3"/>
        <v/>
      </c>
      <c r="P112" s="8"/>
    </row>
    <row r="113" spans="10:16" ht="17" thickBot="1" x14ac:dyDescent="0.25">
      <c r="J113" s="8"/>
      <c r="K113" s="27">
        <v>24</v>
      </c>
      <c r="L113" s="28" t="str">
        <f>IF(ISNA(VLOOKUP(CONCATENATE(M$87,$K29),PDP8E!$H$5:$M$385,2,0)),"",VLOOKUP(CONCATENATE(M$87,$K29),PDP8E!$H$5:$M$385,2,0))</f>
        <v/>
      </c>
      <c r="M113" s="29" t="str">
        <f>IF(ISNA(VLOOKUP(CONCATENATE(M$87,$K29),PDP8E!$H$5:$M$385,5,0)),"",IF(LEN(VLOOKUP(CONCATENATE(M$87,$K29),PDP8E!$H$5:$M$385,5,0))&lt;1,"",VLOOKUP(CONCATENATE(M$87,$K29),PDP8E!$H$5:$M$385,5,0)))</f>
        <v/>
      </c>
      <c r="N113" s="30" t="str">
        <f>IF(ISNA(VLOOKUP(CONCATENATE(M$87,$K29),PDP8E!$H$5:$M$385,6,0)),"",IF(LEN(VLOOKUP(CONCATENATE(M$87,$K29),PDP8E!$H$5:$M$385,6,0))&lt;1,"",VLOOKUP(CONCATENATE(M$87,$K29),PDP8E!$H$5:$M$385,6,0)))</f>
        <v/>
      </c>
      <c r="O113" s="31" t="str">
        <f t="shared" si="3"/>
        <v/>
      </c>
      <c r="P113" s="8"/>
    </row>
    <row r="114" spans="10:16" ht="17" thickBot="1" x14ac:dyDescent="0.25">
      <c r="J114" s="8"/>
      <c r="K114" s="8"/>
      <c r="L114" s="9"/>
      <c r="M114" s="8"/>
      <c r="N114" s="10"/>
      <c r="O114" s="8"/>
      <c r="P114" s="8"/>
    </row>
    <row r="115" spans="10:16" ht="17" thickBot="1" x14ac:dyDescent="0.25">
      <c r="J115" s="8"/>
      <c r="K115" s="8"/>
      <c r="L115" s="11" t="s">
        <v>750</v>
      </c>
      <c r="M115" s="12" t="str">
        <f>$C$7</f>
        <v>LC8-E</v>
      </c>
      <c r="N115" s="13" t="str">
        <f>$D$7</f>
        <v>LA30 DECWriter Control</v>
      </c>
      <c r="O115" s="8"/>
      <c r="P115" s="8"/>
    </row>
    <row r="116" spans="10:16" ht="17" thickBot="1" x14ac:dyDescent="0.25">
      <c r="J116" s="8"/>
      <c r="K116" s="8"/>
      <c r="L116" s="9"/>
      <c r="M116" s="9"/>
      <c r="N116" s="9"/>
      <c r="O116" s="8"/>
      <c r="P116" s="8"/>
    </row>
    <row r="117" spans="10:16" ht="17" thickBot="1" x14ac:dyDescent="0.25">
      <c r="J117" s="8"/>
      <c r="K117" s="14"/>
      <c r="L117" s="15" t="s">
        <v>751</v>
      </c>
      <c r="M117" s="16" t="s">
        <v>752</v>
      </c>
      <c r="N117" s="17" t="s">
        <v>82</v>
      </c>
      <c r="O117" s="18"/>
      <c r="P117" s="8"/>
    </row>
    <row r="118" spans="10:16" x14ac:dyDescent="0.2">
      <c r="J118" s="8"/>
      <c r="K118" s="19">
        <v>1</v>
      </c>
      <c r="L118" s="20">
        <f>IF(ISNA(VLOOKUP(CONCATENATE(M$115,$K6),PDP8E!$H$5:$M$385,2,0)),"",VLOOKUP(CONCATENATE(M$115,$K6),PDP8E!$H$5:$M$385,2,0))</f>
        <v>6030</v>
      </c>
      <c r="M118" s="21" t="str">
        <f>IF(ISNA(VLOOKUP(CONCATENATE(M$115,$K6),PDP8E!$H$5:$M$385,5,0)),"",IF(LEN(VLOOKUP(CONCATENATE(M$115,$K6),PDP8E!$H$5:$M$385,5,0))&lt;1,"",VLOOKUP(CONCATENATE(M$115,$K6),PDP8E!$H$5:$M$385,5,0)))</f>
        <v>KCF</v>
      </c>
      <c r="N118" s="22" t="str">
        <f>IF(ISNA(VLOOKUP(CONCATENATE(M$115,$K6),PDP8E!$H$5:$M$385,6,0)),"",IF(LEN(VLOOKUP(CONCATENATE(M$115,$K6),PDP8E!$H$5:$M$385,6,0))&lt;1,"",VLOOKUP(CONCATENATE(M$115,$K6),PDP8E!$H$5:$M$385,6,0)))</f>
        <v>Clear Keyboard Flag</v>
      </c>
      <c r="O118" s="23" t="str">
        <f>IF(LEN(L118)&lt;1,"",$M$115)</f>
        <v>LC8-E</v>
      </c>
      <c r="P118" s="8"/>
    </row>
    <row r="119" spans="10:16" x14ac:dyDescent="0.2">
      <c r="J119" s="8"/>
      <c r="K119" s="24">
        <v>2</v>
      </c>
      <c r="L119" s="20">
        <f>IF(ISNA(VLOOKUP(CONCATENATE(M$115,$K7),PDP8E!$H$5:$M$385,2,0)),"",VLOOKUP(CONCATENATE(M$115,$K7),PDP8E!$H$5:$M$385,2,0))</f>
        <v>6031</v>
      </c>
      <c r="M119" s="21" t="str">
        <f>IF(ISNA(VLOOKUP(CONCATENATE(M$115,$K7),PDP8E!$H$5:$M$385,5,0)),"",IF(LEN(VLOOKUP(CONCATENATE(M$115,$K7),PDP8E!$H$5:$M$385,5,0))&lt;1,"",VLOOKUP(CONCATENATE(M$115,$K7),PDP8E!$H$5:$M$385,5,0)))</f>
        <v>KSF</v>
      </c>
      <c r="N119" s="22" t="str">
        <f>IF(ISNA(VLOOKUP(CONCATENATE(M$115,$K7),PDP8E!$H$5:$M$385,6,0)),"",IF(LEN(VLOOKUP(CONCATENATE(M$115,$K7),PDP8E!$H$5:$M$385,6,0))&lt;1,"",VLOOKUP(CONCATENATE(M$115,$K7),PDP8E!$H$5:$M$385,6,0)))</f>
        <v>Skip on Keyboard Flag</v>
      </c>
      <c r="O119" s="26" t="str">
        <f t="shared" ref="O119:O141" si="4">IF(LEN(L119)&lt;1,"",$M$115)</f>
        <v>LC8-E</v>
      </c>
      <c r="P119" s="8"/>
    </row>
    <row r="120" spans="10:16" x14ac:dyDescent="0.2">
      <c r="J120" s="8"/>
      <c r="K120" s="24">
        <v>3</v>
      </c>
      <c r="L120" s="20">
        <f>IF(ISNA(VLOOKUP(CONCATENATE(M$115,$K8),PDP8E!$H$5:$M$385,2,0)),"",VLOOKUP(CONCATENATE(M$115,$K8),PDP8E!$H$5:$M$385,2,0))</f>
        <v>6034</v>
      </c>
      <c r="M120" s="21" t="str">
        <f>IF(ISNA(VLOOKUP(CONCATENATE(M$115,$K8),PDP8E!$H$5:$M$385,5,0)),"",IF(LEN(VLOOKUP(CONCATENATE(M$115,$K8),PDP8E!$H$5:$M$385,5,0))&lt;1,"",VLOOKUP(CONCATENATE(M$115,$K8),PDP8E!$H$5:$M$385,5,0)))</f>
        <v>KRS</v>
      </c>
      <c r="N120" s="22" t="str">
        <f>IF(ISNA(VLOOKUP(CONCATENATE(M$115,$K8),PDP8E!$H$5:$M$385,6,0)),"",IF(LEN(VLOOKUP(CONCATENATE(M$115,$K8),PDP8E!$H$5:$M$385,6,0))&lt;1,"",VLOOKUP(CONCATENATE(M$115,$K8),PDP8E!$H$5:$M$385,6,0)))</f>
        <v>Read Keyboard Buffer Static</v>
      </c>
      <c r="O120" s="26" t="str">
        <f t="shared" si="4"/>
        <v>LC8-E</v>
      </c>
      <c r="P120" s="8"/>
    </row>
    <row r="121" spans="10:16" x14ac:dyDescent="0.2">
      <c r="J121" s="8"/>
      <c r="K121" s="24">
        <v>4</v>
      </c>
      <c r="L121" s="20">
        <f>IF(ISNA(VLOOKUP(CONCATENATE(M$115,$K9),PDP8E!$H$5:$M$385,2,0)),"",VLOOKUP(CONCATENATE(M$115,$K9),PDP8E!$H$5:$M$385,2,0))</f>
        <v>6035</v>
      </c>
      <c r="M121" s="21" t="str">
        <f>IF(ISNA(VLOOKUP(CONCATENATE(M$115,$K9),PDP8E!$H$5:$M$385,5,0)),"",IF(LEN(VLOOKUP(CONCATENATE(M$115,$K9),PDP8E!$H$5:$M$385,5,0))&lt;1,"",VLOOKUP(CONCATENATE(M$115,$K9),PDP8E!$H$5:$M$385,5,0)))</f>
        <v>KIE</v>
      </c>
      <c r="N121" s="22" t="str">
        <f>IF(ISNA(VLOOKUP(CONCATENATE(M$115,$K9),PDP8E!$H$5:$M$385,6,0)),"",IF(LEN(VLOOKUP(CONCATENATE(M$115,$K9),PDP8E!$H$5:$M$385,6,0))&lt;1,"",VLOOKUP(CONCATENATE(M$115,$K9),PDP8E!$H$5:$M$385,6,0)))</f>
        <v>Set/Clear Keyboard Interrupt Enable</v>
      </c>
      <c r="O121" s="26" t="str">
        <f t="shared" si="4"/>
        <v>LC8-E</v>
      </c>
      <c r="P121" s="8"/>
    </row>
    <row r="122" spans="10:16" x14ac:dyDescent="0.2">
      <c r="J122" s="8"/>
      <c r="K122" s="24">
        <v>5</v>
      </c>
      <c r="L122" s="20">
        <f>IF(ISNA(VLOOKUP(CONCATENATE(M$115,$K10),PDP8E!$H$5:$M$385,2,0)),"",VLOOKUP(CONCATENATE(M$115,$K10),PDP8E!$H$5:$M$385,2,0))</f>
        <v>6036</v>
      </c>
      <c r="M122" s="21" t="str">
        <f>IF(ISNA(VLOOKUP(CONCATENATE(M$115,$K10),PDP8E!$H$5:$M$385,5,0)),"",IF(LEN(VLOOKUP(CONCATENATE(M$115,$K10),PDP8E!$H$5:$M$385,5,0))&lt;1,"",VLOOKUP(CONCATENATE(M$115,$K10),PDP8E!$H$5:$M$385,5,0)))</f>
        <v>KRB</v>
      </c>
      <c r="N122" s="22" t="str">
        <f>IF(ISNA(VLOOKUP(CONCATENATE(M$115,$K10),PDP8E!$H$5:$M$385,6,0)),"",IF(LEN(VLOOKUP(CONCATENATE(M$115,$K10),PDP8E!$H$5:$M$385,6,0))&lt;1,"",VLOOKUP(CONCATENATE(M$115,$K10),PDP8E!$H$5:$M$385,6,0)))</f>
        <v>Read Keyboard Buffer Dynamic</v>
      </c>
      <c r="O122" s="26" t="str">
        <f t="shared" si="4"/>
        <v>LC8-E</v>
      </c>
      <c r="P122" s="8"/>
    </row>
    <row r="123" spans="10:16" x14ac:dyDescent="0.2">
      <c r="J123" s="8"/>
      <c r="K123" s="24">
        <v>6</v>
      </c>
      <c r="L123" s="20">
        <f>IF(ISNA(VLOOKUP(CONCATENATE(M$115,$K11),PDP8E!$H$5:$M$385,2,0)),"",VLOOKUP(CONCATENATE(M$115,$K11),PDP8E!$H$5:$M$385,2,0))</f>
        <v>6040</v>
      </c>
      <c r="M123" s="21" t="str">
        <f>IF(ISNA(VLOOKUP(CONCATENATE(M$115,$K11),PDP8E!$H$5:$M$385,5,0)),"",IF(LEN(VLOOKUP(CONCATENATE(M$115,$K11),PDP8E!$H$5:$M$385,5,0))&lt;1,"",VLOOKUP(CONCATENATE(M$115,$K11),PDP8E!$H$5:$M$385,5,0)))</f>
        <v>TFL</v>
      </c>
      <c r="N123" s="22" t="str">
        <f>IF(ISNA(VLOOKUP(CONCATENATE(M$115,$K11),PDP8E!$H$5:$M$385,6,0)),"",IF(LEN(VLOOKUP(CONCATENATE(M$115,$K11),PDP8E!$H$5:$M$385,6,0))&lt;1,"",VLOOKUP(CONCATENATE(M$115,$K11),PDP8E!$H$5:$M$385,6,0)))</f>
        <v>Set Printer Flag</v>
      </c>
      <c r="O123" s="26" t="str">
        <f t="shared" si="4"/>
        <v>LC8-E</v>
      </c>
      <c r="P123" s="8"/>
    </row>
    <row r="124" spans="10:16" x14ac:dyDescent="0.2">
      <c r="J124" s="8"/>
      <c r="K124" s="24">
        <v>7</v>
      </c>
      <c r="L124" s="20">
        <f>IF(ISNA(VLOOKUP(CONCATENATE(M$115,$K12),PDP8E!$H$5:$M$385,2,0)),"",VLOOKUP(CONCATENATE(M$115,$K12),PDP8E!$H$5:$M$385,2,0))</f>
        <v>6041</v>
      </c>
      <c r="M124" s="21" t="str">
        <f>IF(ISNA(VLOOKUP(CONCATENATE(M$115,$K12),PDP8E!$H$5:$M$385,5,0)),"",IF(LEN(VLOOKUP(CONCATENATE(M$115,$K12),PDP8E!$H$5:$M$385,5,0))&lt;1,"",VLOOKUP(CONCATENATE(M$115,$K12),PDP8E!$H$5:$M$385,5,0)))</f>
        <v>TSF</v>
      </c>
      <c r="N124" s="22" t="str">
        <f>IF(ISNA(VLOOKUP(CONCATENATE(M$115,$K12),PDP8E!$H$5:$M$385,6,0)),"",IF(LEN(VLOOKUP(CONCATENATE(M$115,$K12),PDP8E!$H$5:$M$385,6,0))&lt;1,"",VLOOKUP(CONCATENATE(M$115,$K12),PDP8E!$H$5:$M$385,6,0)))</f>
        <v>Skip on Printer Flag</v>
      </c>
      <c r="O124" s="26" t="str">
        <f t="shared" si="4"/>
        <v>LC8-E</v>
      </c>
      <c r="P124" s="8"/>
    </row>
    <row r="125" spans="10:16" x14ac:dyDescent="0.2">
      <c r="J125" s="8"/>
      <c r="K125" s="24">
        <v>8</v>
      </c>
      <c r="L125" s="20">
        <f>IF(ISNA(VLOOKUP(CONCATENATE(M$115,$K13),PDP8E!$H$5:$M$385,2,0)),"",VLOOKUP(CONCATENATE(M$115,$K13),PDP8E!$H$5:$M$385,2,0))</f>
        <v>6042</v>
      </c>
      <c r="M125" s="21" t="str">
        <f>IF(ISNA(VLOOKUP(CONCATENATE(M$115,$K13),PDP8E!$H$5:$M$385,5,0)),"",IF(LEN(VLOOKUP(CONCATENATE(M$115,$K13),PDP8E!$H$5:$M$385,5,0))&lt;1,"",VLOOKUP(CONCATENATE(M$115,$K13),PDP8E!$H$5:$M$385,5,0)))</f>
        <v>TCF</v>
      </c>
      <c r="N125" s="22" t="str">
        <f>IF(ISNA(VLOOKUP(CONCATENATE(M$115,$K13),PDP8E!$H$5:$M$385,6,0)),"",IF(LEN(VLOOKUP(CONCATENATE(M$115,$K13),PDP8E!$H$5:$M$385,6,0))&lt;1,"",VLOOKUP(CONCATENATE(M$115,$K13),PDP8E!$H$5:$M$385,6,0)))</f>
        <v>Clear Printer Flag</v>
      </c>
      <c r="O125" s="26" t="str">
        <f t="shared" si="4"/>
        <v>LC8-E</v>
      </c>
      <c r="P125" s="8"/>
    </row>
    <row r="126" spans="10:16" x14ac:dyDescent="0.2">
      <c r="J126" s="8"/>
      <c r="K126" s="24">
        <v>9</v>
      </c>
      <c r="L126" s="20">
        <f>IF(ISNA(VLOOKUP(CONCATENATE(M$115,$K14),PDP8E!$H$5:$M$385,2,0)),"",VLOOKUP(CONCATENATE(M$115,$K14),PDP8E!$H$5:$M$385,2,0))</f>
        <v>6044</v>
      </c>
      <c r="M126" s="21" t="str">
        <f>IF(ISNA(VLOOKUP(CONCATENATE(M$115,$K14),PDP8E!$H$5:$M$385,5,0)),"",IF(LEN(VLOOKUP(CONCATENATE(M$115,$K14),PDP8E!$H$5:$M$385,5,0))&lt;1,"",VLOOKUP(CONCATENATE(M$115,$K14),PDP8E!$H$5:$M$385,5,0)))</f>
        <v>TPC</v>
      </c>
      <c r="N126" s="22" t="str">
        <f>IF(ISNA(VLOOKUP(CONCATENATE(M$115,$K14),PDP8E!$H$5:$M$385,6,0)),"",IF(LEN(VLOOKUP(CONCATENATE(M$115,$K14),PDP8E!$H$5:$M$385,6,0))&lt;1,"",VLOOKUP(CONCATENATE(M$115,$K14),PDP8E!$H$5:$M$385,6,0)))</f>
        <v>Load Printer Buffer and Print</v>
      </c>
      <c r="O126" s="26" t="str">
        <f t="shared" si="4"/>
        <v>LC8-E</v>
      </c>
      <c r="P126" s="8"/>
    </row>
    <row r="127" spans="10:16" x14ac:dyDescent="0.2">
      <c r="J127" s="8"/>
      <c r="K127" s="24">
        <v>10</v>
      </c>
      <c r="L127" s="20">
        <f>IF(ISNA(VLOOKUP(CONCATENATE(M$115,$K15),PDP8E!$H$5:$M$385,2,0)),"",VLOOKUP(CONCATENATE(M$115,$K15),PDP8E!$H$5:$M$385,2,0))</f>
        <v>6045</v>
      </c>
      <c r="M127" s="21" t="str">
        <f>IF(ISNA(VLOOKUP(CONCATENATE(M$115,$K15),PDP8E!$H$5:$M$385,5,0)),"",IF(LEN(VLOOKUP(CONCATENATE(M$115,$K15),PDP8E!$H$5:$M$385,5,0))&lt;1,"",VLOOKUP(CONCATENATE(M$115,$K15),PDP8E!$H$5:$M$385,5,0)))</f>
        <v>TSK</v>
      </c>
      <c r="N127" s="22" t="str">
        <f>IF(ISNA(VLOOKUP(CONCATENATE(M$115,$K15),PDP8E!$H$5:$M$385,6,0)),"",IF(LEN(VLOOKUP(CONCATENATE(M$115,$K15),PDP8E!$H$5:$M$385,6,0))&lt;1,"",VLOOKUP(CONCATENATE(M$115,$K15),PDP8E!$H$5:$M$385,6,0)))</f>
        <v>Skip on Keyboard or Printer Interrupt</v>
      </c>
      <c r="O127" s="26" t="str">
        <f t="shared" si="4"/>
        <v>LC8-E</v>
      </c>
      <c r="P127" s="8"/>
    </row>
    <row r="128" spans="10:16" x14ac:dyDescent="0.2">
      <c r="J128" s="8"/>
      <c r="K128" s="24">
        <v>11</v>
      </c>
      <c r="L128" s="20">
        <f>IF(ISNA(VLOOKUP(CONCATENATE(M$115,$K16),PDP8E!$H$5:$M$385,2,0)),"",VLOOKUP(CONCATENATE(M$115,$K16),PDP8E!$H$5:$M$385,2,0))</f>
        <v>6046</v>
      </c>
      <c r="M128" s="21" t="str">
        <f>IF(ISNA(VLOOKUP(CONCATENATE(M$115,$K16),PDP8E!$H$5:$M$385,5,0)),"",IF(LEN(VLOOKUP(CONCATENATE(M$115,$K16),PDP8E!$H$5:$M$385,5,0))&lt;1,"",VLOOKUP(CONCATENATE(M$115,$K16),PDP8E!$H$5:$M$385,5,0)))</f>
        <v>TLS</v>
      </c>
      <c r="N128" s="22" t="str">
        <f>IF(ISNA(VLOOKUP(CONCATENATE(M$115,$K16),PDP8E!$H$5:$M$385,6,0)),"",IF(LEN(VLOOKUP(CONCATENATE(M$115,$K16),PDP8E!$H$5:$M$385,6,0))&lt;1,"",VLOOKUP(CONCATENATE(M$115,$K16),PDP8E!$H$5:$M$385,6,0)))</f>
        <v>Load Printer Sequence</v>
      </c>
      <c r="O128" s="26" t="str">
        <f t="shared" si="4"/>
        <v>LC8-E</v>
      </c>
      <c r="P128" s="8"/>
    </row>
    <row r="129" spans="10:16" x14ac:dyDescent="0.2">
      <c r="J129" s="8"/>
      <c r="K129" s="24">
        <v>12</v>
      </c>
      <c r="L129" s="20" t="str">
        <f>IF(ISNA(VLOOKUP(CONCATENATE(M$115,$K17),PDP8E!$H$5:$M$385,2,0)),"",VLOOKUP(CONCATENATE(M$115,$K17),PDP8E!$H$5:$M$385,2,0))</f>
        <v/>
      </c>
      <c r="M129" s="21" t="str">
        <f>IF(ISNA(VLOOKUP(CONCATENATE(M$115,$K17),PDP8E!$H$5:$M$385,5,0)),"",IF(LEN(VLOOKUP(CONCATENATE(M$115,$K17),PDP8E!$H$5:$M$385,5,0))&lt;1,"",VLOOKUP(CONCATENATE(M$115,$K17),PDP8E!$H$5:$M$385,5,0)))</f>
        <v/>
      </c>
      <c r="N129" s="22" t="str">
        <f>IF(ISNA(VLOOKUP(CONCATENATE(M$115,$K17),PDP8E!$H$5:$M$385,6,0)),"",IF(LEN(VLOOKUP(CONCATENATE(M$115,$K17),PDP8E!$H$5:$M$385,6,0))&lt;1,"",VLOOKUP(CONCATENATE(M$115,$K17),PDP8E!$H$5:$M$385,6,0)))</f>
        <v/>
      </c>
      <c r="O129" s="26" t="str">
        <f t="shared" si="4"/>
        <v/>
      </c>
      <c r="P129" s="8"/>
    </row>
    <row r="130" spans="10:16" x14ac:dyDescent="0.2">
      <c r="J130" s="8"/>
      <c r="K130" s="24">
        <v>13</v>
      </c>
      <c r="L130" s="20" t="str">
        <f>IF(ISNA(VLOOKUP(CONCATENATE(M$115,$K18),PDP8E!$H$5:$M$385,2,0)),"",VLOOKUP(CONCATENATE(M$115,$K18),PDP8E!$H$5:$M$385,2,0))</f>
        <v/>
      </c>
      <c r="M130" s="21" t="str">
        <f>IF(ISNA(VLOOKUP(CONCATENATE(M$115,$K18),PDP8E!$H$5:$M$385,5,0)),"",IF(LEN(VLOOKUP(CONCATENATE(M$115,$K18),PDP8E!$H$5:$M$385,5,0))&lt;1,"",VLOOKUP(CONCATENATE(M$115,$K18),PDP8E!$H$5:$M$385,5,0)))</f>
        <v/>
      </c>
      <c r="N130" s="22" t="str">
        <f>IF(ISNA(VLOOKUP(CONCATENATE(M$115,$K18),PDP8E!$H$5:$M$385,6,0)),"",IF(LEN(VLOOKUP(CONCATENATE(M$115,$K18),PDP8E!$H$5:$M$385,6,0))&lt;1,"",VLOOKUP(CONCATENATE(M$115,$K18),PDP8E!$H$5:$M$385,6,0)))</f>
        <v/>
      </c>
      <c r="O130" s="26" t="str">
        <f t="shared" si="4"/>
        <v/>
      </c>
      <c r="P130" s="8"/>
    </row>
    <row r="131" spans="10:16" x14ac:dyDescent="0.2">
      <c r="J131" s="8"/>
      <c r="K131" s="24">
        <v>14</v>
      </c>
      <c r="L131" s="20" t="str">
        <f>IF(ISNA(VLOOKUP(CONCATENATE(M$115,$K19),PDP8E!$H$5:$M$385,2,0)),"",VLOOKUP(CONCATENATE(M$115,$K19),PDP8E!$H$5:$M$385,2,0))</f>
        <v/>
      </c>
      <c r="M131" s="21" t="str">
        <f>IF(ISNA(VLOOKUP(CONCATENATE(M$115,$K19),PDP8E!$H$5:$M$385,5,0)),"",IF(LEN(VLOOKUP(CONCATENATE(M$115,$K19),PDP8E!$H$5:$M$385,5,0))&lt;1,"",VLOOKUP(CONCATENATE(M$115,$K19),PDP8E!$H$5:$M$385,5,0)))</f>
        <v/>
      </c>
      <c r="N131" s="22" t="str">
        <f>IF(ISNA(VLOOKUP(CONCATENATE(M$115,$K19),PDP8E!$H$5:$M$385,6,0)),"",IF(LEN(VLOOKUP(CONCATENATE(M$115,$K19),PDP8E!$H$5:$M$385,6,0))&lt;1,"",VLOOKUP(CONCATENATE(M$115,$K19),PDP8E!$H$5:$M$385,6,0)))</f>
        <v/>
      </c>
      <c r="O131" s="26" t="str">
        <f t="shared" si="4"/>
        <v/>
      </c>
      <c r="P131" s="8"/>
    </row>
    <row r="132" spans="10:16" x14ac:dyDescent="0.2">
      <c r="J132" s="8"/>
      <c r="K132" s="24">
        <v>15</v>
      </c>
      <c r="L132" s="20" t="str">
        <f>IF(ISNA(VLOOKUP(CONCATENATE(M$115,$K20),PDP8E!$H$5:$M$385,2,0)),"",VLOOKUP(CONCATENATE(M$115,$K20),PDP8E!$H$5:$M$385,2,0))</f>
        <v/>
      </c>
      <c r="M132" s="21" t="str">
        <f>IF(ISNA(VLOOKUP(CONCATENATE(M$115,$K20),PDP8E!$H$5:$M$385,5,0)),"",IF(LEN(VLOOKUP(CONCATENATE(M$115,$K20),PDP8E!$H$5:$M$385,5,0))&lt;1,"",VLOOKUP(CONCATENATE(M$115,$K20),PDP8E!$H$5:$M$385,5,0)))</f>
        <v/>
      </c>
      <c r="N132" s="22" t="str">
        <f>IF(ISNA(VLOOKUP(CONCATENATE(M$115,$K20),PDP8E!$H$5:$M$385,6,0)),"",IF(LEN(VLOOKUP(CONCATENATE(M$115,$K20),PDP8E!$H$5:$M$385,6,0))&lt;1,"",VLOOKUP(CONCATENATE(M$115,$K20),PDP8E!$H$5:$M$385,6,0)))</f>
        <v/>
      </c>
      <c r="O132" s="26" t="str">
        <f t="shared" si="4"/>
        <v/>
      </c>
      <c r="P132" s="8"/>
    </row>
    <row r="133" spans="10:16" x14ac:dyDescent="0.2">
      <c r="J133" s="8"/>
      <c r="K133" s="24">
        <v>16</v>
      </c>
      <c r="L133" s="20" t="str">
        <f>IF(ISNA(VLOOKUP(CONCATENATE(M$115,$K21),PDP8E!$H$5:$M$385,2,0)),"",VLOOKUP(CONCATENATE(M$115,$K21),PDP8E!$H$5:$M$385,2,0))</f>
        <v/>
      </c>
      <c r="M133" s="21" t="str">
        <f>IF(ISNA(VLOOKUP(CONCATENATE(M$115,$K21),PDP8E!$H$5:$M$385,5,0)),"",IF(LEN(VLOOKUP(CONCATENATE(M$115,$K21),PDP8E!$H$5:$M$385,5,0))&lt;1,"",VLOOKUP(CONCATENATE(M$115,$K21),PDP8E!$H$5:$M$385,5,0)))</f>
        <v/>
      </c>
      <c r="N133" s="22" t="str">
        <f>IF(ISNA(VLOOKUP(CONCATENATE(M$115,$K21),PDP8E!$H$5:$M$385,6,0)),"",IF(LEN(VLOOKUP(CONCATENATE(M$115,$K21),PDP8E!$H$5:$M$385,6,0))&lt;1,"",VLOOKUP(CONCATENATE(M$115,$K21),PDP8E!$H$5:$M$385,6,0)))</f>
        <v/>
      </c>
      <c r="O133" s="26" t="str">
        <f t="shared" si="4"/>
        <v/>
      </c>
      <c r="P133" s="8"/>
    </row>
    <row r="134" spans="10:16" x14ac:dyDescent="0.2">
      <c r="J134" s="8"/>
      <c r="K134" s="24">
        <v>17</v>
      </c>
      <c r="L134" s="20" t="str">
        <f>IF(ISNA(VLOOKUP(CONCATENATE(M$115,$K22),PDP8E!$H$5:$M$385,2,0)),"",VLOOKUP(CONCATENATE(M$115,$K22),PDP8E!$H$5:$M$385,2,0))</f>
        <v/>
      </c>
      <c r="M134" s="21" t="str">
        <f>IF(ISNA(VLOOKUP(CONCATENATE(M$115,$K22),PDP8E!$H$5:$M$385,5,0)),"",IF(LEN(VLOOKUP(CONCATENATE(M$115,$K22),PDP8E!$H$5:$M$385,5,0))&lt;1,"",VLOOKUP(CONCATENATE(M$115,$K22),PDP8E!$H$5:$M$385,5,0)))</f>
        <v/>
      </c>
      <c r="N134" s="22" t="str">
        <f>IF(ISNA(VLOOKUP(CONCATENATE(M$115,$K22),PDP8E!$H$5:$M$385,6,0)),"",IF(LEN(VLOOKUP(CONCATENATE(M$115,$K22),PDP8E!$H$5:$M$385,6,0))&lt;1,"",VLOOKUP(CONCATENATE(M$115,$K22),PDP8E!$H$5:$M$385,6,0)))</f>
        <v/>
      </c>
      <c r="O134" s="26" t="str">
        <f t="shared" si="4"/>
        <v/>
      </c>
      <c r="P134" s="8"/>
    </row>
    <row r="135" spans="10:16" x14ac:dyDescent="0.2">
      <c r="J135" s="8"/>
      <c r="K135" s="24">
        <v>18</v>
      </c>
      <c r="L135" s="20" t="str">
        <f>IF(ISNA(VLOOKUP(CONCATENATE(M$115,$K23),PDP8E!$H$5:$M$385,2,0)),"",VLOOKUP(CONCATENATE(M$115,$K23),PDP8E!$H$5:$M$385,2,0))</f>
        <v/>
      </c>
      <c r="M135" s="21" t="str">
        <f>IF(ISNA(VLOOKUP(CONCATENATE(M$115,$K23),PDP8E!$H$5:$M$385,5,0)),"",IF(LEN(VLOOKUP(CONCATENATE(M$115,$K23),PDP8E!$H$5:$M$385,5,0))&lt;1,"",VLOOKUP(CONCATENATE(M$115,$K23),PDP8E!$H$5:$M$385,5,0)))</f>
        <v/>
      </c>
      <c r="N135" s="22" t="str">
        <f>IF(ISNA(VLOOKUP(CONCATENATE(M$115,$K23),PDP8E!$H$5:$M$385,6,0)),"",IF(LEN(VLOOKUP(CONCATENATE(M$115,$K23),PDP8E!$H$5:$M$385,6,0))&lt;1,"",VLOOKUP(CONCATENATE(M$115,$K23),PDP8E!$H$5:$M$385,6,0)))</f>
        <v/>
      </c>
      <c r="O135" s="26" t="str">
        <f t="shared" si="4"/>
        <v/>
      </c>
      <c r="P135" s="8"/>
    </row>
    <row r="136" spans="10:16" x14ac:dyDescent="0.2">
      <c r="J136" s="8"/>
      <c r="K136" s="24">
        <v>19</v>
      </c>
      <c r="L136" s="20" t="str">
        <f>IF(ISNA(VLOOKUP(CONCATENATE(M$115,$K24),PDP8E!$H$5:$M$385,2,0)),"",VLOOKUP(CONCATENATE(M$115,$K24),PDP8E!$H$5:$M$385,2,0))</f>
        <v/>
      </c>
      <c r="M136" s="21" t="str">
        <f>IF(ISNA(VLOOKUP(CONCATENATE(M$115,$K24),PDP8E!$H$5:$M$385,5,0)),"",IF(LEN(VLOOKUP(CONCATENATE(M$115,$K24),PDP8E!$H$5:$M$385,5,0))&lt;1,"",VLOOKUP(CONCATENATE(M$115,$K24),PDP8E!$H$5:$M$385,5,0)))</f>
        <v/>
      </c>
      <c r="N136" s="22" t="str">
        <f>IF(ISNA(VLOOKUP(CONCATENATE(M$115,$K24),PDP8E!$H$5:$M$385,6,0)),"",IF(LEN(VLOOKUP(CONCATENATE(M$115,$K24),PDP8E!$H$5:$M$385,6,0))&lt;1,"",VLOOKUP(CONCATENATE(M$115,$K24),PDP8E!$H$5:$M$385,6,0)))</f>
        <v/>
      </c>
      <c r="O136" s="26" t="str">
        <f t="shared" si="4"/>
        <v/>
      </c>
      <c r="P136" s="8"/>
    </row>
    <row r="137" spans="10:16" x14ac:dyDescent="0.2">
      <c r="J137" s="8"/>
      <c r="K137" s="24">
        <v>20</v>
      </c>
      <c r="L137" s="20" t="str">
        <f>IF(ISNA(VLOOKUP(CONCATENATE(M$115,$K25),PDP8E!$H$5:$M$385,2,0)),"",VLOOKUP(CONCATENATE(M$115,$K25),PDP8E!$H$5:$M$385,2,0))</f>
        <v/>
      </c>
      <c r="M137" s="21" t="str">
        <f>IF(ISNA(VLOOKUP(CONCATENATE(M$115,$K25),PDP8E!$H$5:$M$385,5,0)),"",IF(LEN(VLOOKUP(CONCATENATE(M$115,$K25),PDP8E!$H$5:$M$385,5,0))&lt;1,"",VLOOKUP(CONCATENATE(M$115,$K25),PDP8E!$H$5:$M$385,5,0)))</f>
        <v/>
      </c>
      <c r="N137" s="22" t="str">
        <f>IF(ISNA(VLOOKUP(CONCATENATE(M$115,$K25),PDP8E!$H$5:$M$385,6,0)),"",IF(LEN(VLOOKUP(CONCATENATE(M$115,$K25),PDP8E!$H$5:$M$385,6,0))&lt;1,"",VLOOKUP(CONCATENATE(M$115,$K25),PDP8E!$H$5:$M$385,6,0)))</f>
        <v/>
      </c>
      <c r="O137" s="26" t="str">
        <f t="shared" si="4"/>
        <v/>
      </c>
      <c r="P137" s="8"/>
    </row>
    <row r="138" spans="10:16" x14ac:dyDescent="0.2">
      <c r="J138" s="8"/>
      <c r="K138" s="24">
        <v>21</v>
      </c>
      <c r="L138" s="20" t="str">
        <f>IF(ISNA(VLOOKUP(CONCATENATE(M$115,$K26),PDP8E!$H$5:$M$385,2,0)),"",VLOOKUP(CONCATENATE(M$115,$K26),PDP8E!$H$5:$M$385,2,0))</f>
        <v/>
      </c>
      <c r="M138" s="21" t="str">
        <f>IF(ISNA(VLOOKUP(CONCATENATE(M$115,$K26),PDP8E!$H$5:$M$385,5,0)),"",IF(LEN(VLOOKUP(CONCATENATE(M$115,$K26),PDP8E!$H$5:$M$385,5,0))&lt;1,"",VLOOKUP(CONCATENATE(M$115,$K26),PDP8E!$H$5:$M$385,5,0)))</f>
        <v/>
      </c>
      <c r="N138" s="22" t="str">
        <f>IF(ISNA(VLOOKUP(CONCATENATE(M$115,$K26),PDP8E!$H$5:$M$385,6,0)),"",IF(LEN(VLOOKUP(CONCATENATE(M$115,$K26),PDP8E!$H$5:$M$385,6,0))&lt;1,"",VLOOKUP(CONCATENATE(M$115,$K26),PDP8E!$H$5:$M$385,6,0)))</f>
        <v/>
      </c>
      <c r="O138" s="26" t="str">
        <f t="shared" si="4"/>
        <v/>
      </c>
      <c r="P138" s="8"/>
    </row>
    <row r="139" spans="10:16" x14ac:dyDescent="0.2">
      <c r="J139" s="8"/>
      <c r="K139" s="24">
        <v>22</v>
      </c>
      <c r="L139" s="20" t="str">
        <f>IF(ISNA(VLOOKUP(CONCATENATE(M$115,$K27),PDP8E!$H$5:$M$385,2,0)),"",VLOOKUP(CONCATENATE(M$115,$K27),PDP8E!$H$5:$M$385,2,0))</f>
        <v/>
      </c>
      <c r="M139" s="21" t="str">
        <f>IF(ISNA(VLOOKUP(CONCATENATE(M$115,$K27),PDP8E!$H$5:$M$385,5,0)),"",IF(LEN(VLOOKUP(CONCATENATE(M$115,$K27),PDP8E!$H$5:$M$385,5,0))&lt;1,"",VLOOKUP(CONCATENATE(M$115,$K27),PDP8E!$H$5:$M$385,5,0)))</f>
        <v/>
      </c>
      <c r="N139" s="22" t="str">
        <f>IF(ISNA(VLOOKUP(CONCATENATE(M$115,$K27),PDP8E!$H$5:$M$385,6,0)),"",IF(LEN(VLOOKUP(CONCATENATE(M$115,$K27),PDP8E!$H$5:$M$385,6,0))&lt;1,"",VLOOKUP(CONCATENATE(M$115,$K27),PDP8E!$H$5:$M$385,6,0)))</f>
        <v/>
      </c>
      <c r="O139" s="26" t="str">
        <f t="shared" si="4"/>
        <v/>
      </c>
      <c r="P139" s="8"/>
    </row>
    <row r="140" spans="10:16" x14ac:dyDescent="0.2">
      <c r="J140" s="8"/>
      <c r="K140" s="24">
        <v>23</v>
      </c>
      <c r="L140" s="20" t="str">
        <f>IF(ISNA(VLOOKUP(CONCATENATE(M$115,$K28),PDP8E!$H$5:$M$385,2,0)),"",VLOOKUP(CONCATENATE(M$115,$K28),PDP8E!$H$5:$M$385,2,0))</f>
        <v/>
      </c>
      <c r="M140" s="21" t="str">
        <f>IF(ISNA(VLOOKUP(CONCATENATE(M$115,$K28),PDP8E!$H$5:$M$385,5,0)),"",IF(LEN(VLOOKUP(CONCATENATE(M$115,$K28),PDP8E!$H$5:$M$385,5,0))&lt;1,"",VLOOKUP(CONCATENATE(M$115,$K28),PDP8E!$H$5:$M$385,5,0)))</f>
        <v/>
      </c>
      <c r="N140" s="22" t="str">
        <f>IF(ISNA(VLOOKUP(CONCATENATE(M$115,$K28),PDP8E!$H$5:$M$385,6,0)),"",IF(LEN(VLOOKUP(CONCATENATE(M$115,$K28),PDP8E!$H$5:$M$385,6,0))&lt;1,"",VLOOKUP(CONCATENATE(M$115,$K28),PDP8E!$H$5:$M$385,6,0)))</f>
        <v/>
      </c>
      <c r="O140" s="26" t="str">
        <f t="shared" si="4"/>
        <v/>
      </c>
      <c r="P140" s="8"/>
    </row>
    <row r="141" spans="10:16" ht="17" thickBot="1" x14ac:dyDescent="0.25">
      <c r="J141" s="8"/>
      <c r="K141" s="27">
        <v>24</v>
      </c>
      <c r="L141" s="28" t="str">
        <f>IF(ISNA(VLOOKUP(CONCATENATE(M$115,$K29),PDP8E!$H$5:$M$385,2,0)),"",VLOOKUP(CONCATENATE(M$115,$K29),PDP8E!$H$5:$M$385,2,0))</f>
        <v/>
      </c>
      <c r="M141" s="29" t="str">
        <f>IF(ISNA(VLOOKUP(CONCATENATE(M$115,$K29),PDP8E!$H$5:$M$385,5,0)),"",IF(LEN(VLOOKUP(CONCATENATE(M$115,$K29),PDP8E!$H$5:$M$385,5,0))&lt;1,"",VLOOKUP(CONCATENATE(M$115,$K29),PDP8E!$H$5:$M$385,5,0)))</f>
        <v/>
      </c>
      <c r="N141" s="30" t="str">
        <f>IF(ISNA(VLOOKUP(CONCATENATE(M$115,$K29),PDP8E!$H$5:$M$385,6,0)),"",IF(LEN(VLOOKUP(CONCATENATE(M$115,$K29),PDP8E!$H$5:$M$385,6,0))&lt;1,"",VLOOKUP(CONCATENATE(M$115,$K29),PDP8E!$H$5:$M$385,6,0)))</f>
        <v/>
      </c>
      <c r="O141" s="31" t="str">
        <f t="shared" si="4"/>
        <v/>
      </c>
      <c r="P141" s="8"/>
    </row>
    <row r="142" spans="10:16" ht="17" thickBot="1" x14ac:dyDescent="0.25">
      <c r="J142" s="8"/>
      <c r="K142" s="8"/>
      <c r="L142" s="9"/>
      <c r="M142" s="8"/>
      <c r="N142" s="10"/>
      <c r="O142" s="8"/>
      <c r="P142" s="8"/>
    </row>
    <row r="143" spans="10:16" ht="17" thickBot="1" x14ac:dyDescent="0.25">
      <c r="J143" s="8"/>
      <c r="K143" s="8"/>
      <c r="L143" s="11" t="s">
        <v>750</v>
      </c>
      <c r="M143" s="12">
        <f>$C$8</f>
        <v>0</v>
      </c>
      <c r="N143" s="13" t="str">
        <f>$D$8</f>
        <v/>
      </c>
      <c r="O143" s="8"/>
      <c r="P143" s="8"/>
    </row>
    <row r="144" spans="10:16" ht="17" thickBot="1" x14ac:dyDescent="0.25">
      <c r="J144" s="8"/>
      <c r="K144" s="8"/>
      <c r="L144" s="9"/>
      <c r="M144" s="9"/>
      <c r="N144" s="9"/>
      <c r="O144" s="8"/>
      <c r="P144" s="8"/>
    </row>
    <row r="145" spans="10:16" ht="17" thickBot="1" x14ac:dyDescent="0.25">
      <c r="J145" s="8"/>
      <c r="K145" s="14"/>
      <c r="L145" s="15" t="s">
        <v>751</v>
      </c>
      <c r="M145" s="16" t="s">
        <v>752</v>
      </c>
      <c r="N145" s="17" t="s">
        <v>82</v>
      </c>
      <c r="O145" s="18"/>
      <c r="P145" s="8"/>
    </row>
    <row r="146" spans="10:16" x14ac:dyDescent="0.2">
      <c r="J146" s="8"/>
      <c r="K146" s="19">
        <v>1</v>
      </c>
      <c r="L146" s="20" t="str">
        <f>IF(ISNA(VLOOKUP(CONCATENATE(M$143,$K6),PDP8E!$H$5:$M$385,2,0)),"",VLOOKUP(CONCATENATE(M$143,$K6),PDP8E!$H$5:$M$385,2,0))</f>
        <v/>
      </c>
      <c r="M146" s="21" t="str">
        <f>IF(ISNA(VLOOKUP(CONCATENATE(M$143,$K6),PDP8E!$H$5:$M$385,5,0)),"",IF(LEN(VLOOKUP(CONCATENATE(M$143,$K6),PDP8E!$H$5:$M$385,5,0))&lt;1,"",VLOOKUP(CONCATENATE(M$143,$K6),PDP8E!$H$5:$M$385,5,0)))</f>
        <v/>
      </c>
      <c r="N146" s="22" t="str">
        <f>IF(ISNA(VLOOKUP(CONCATENATE(M$143,$K6),PDP8E!$H$5:$M$385,6,0)),"",IF(LEN(VLOOKUP(CONCATENATE(M$143,$K6),PDP8E!$H$5:$M$385,6,0))&lt;1,"",VLOOKUP(CONCATENATE(M$143,$K6),PDP8E!$H$5:$M$385,6,0)))</f>
        <v/>
      </c>
      <c r="O146" s="23" t="str">
        <f>IF(LEN(L146)&lt;1,"",$M$143)</f>
        <v/>
      </c>
      <c r="P146" s="8"/>
    </row>
    <row r="147" spans="10:16" x14ac:dyDescent="0.2">
      <c r="J147" s="8"/>
      <c r="K147" s="24">
        <v>2</v>
      </c>
      <c r="L147" s="20" t="str">
        <f>IF(ISNA(VLOOKUP(CONCATENATE(M$143,$K7),PDP8E!$H$5:$M$385,2,0)),"",VLOOKUP(CONCATENATE(M$143,$K7),PDP8E!$H$5:$M$385,2,0))</f>
        <v/>
      </c>
      <c r="M147" s="21" t="str">
        <f>IF(ISNA(VLOOKUP(CONCATENATE(M$143,$K7),PDP8E!$H$5:$M$385,5,0)),"",IF(LEN(VLOOKUP(CONCATENATE(M$143,$K7),PDP8E!$H$5:$M$385,5,0))&lt;1,"",VLOOKUP(CONCATENATE(M$143,$K7),PDP8E!$H$5:$M$385,5,0)))</f>
        <v/>
      </c>
      <c r="N147" s="22" t="str">
        <f>IF(ISNA(VLOOKUP(CONCATENATE(M$143,$K7),PDP8E!$H$5:$M$385,6,0)),"",IF(LEN(VLOOKUP(CONCATENATE(M$143,$K7),PDP8E!$H$5:$M$385,6,0))&lt;1,"",VLOOKUP(CONCATENATE(M$143,$K7),PDP8E!$H$5:$M$385,6,0)))</f>
        <v/>
      </c>
      <c r="O147" s="26" t="str">
        <f t="shared" ref="O147:O169" si="5">IF(LEN(L147)&lt;1,"",$M$143)</f>
        <v/>
      </c>
      <c r="P147" s="8"/>
    </row>
    <row r="148" spans="10:16" x14ac:dyDescent="0.2">
      <c r="J148" s="8"/>
      <c r="K148" s="24">
        <v>3</v>
      </c>
      <c r="L148" s="20" t="str">
        <f>IF(ISNA(VLOOKUP(CONCATENATE(M$143,$K8),PDP8E!$H$5:$M$385,2,0)),"",VLOOKUP(CONCATENATE(M$143,$K8),PDP8E!$H$5:$M$385,2,0))</f>
        <v/>
      </c>
      <c r="M148" s="21" t="str">
        <f>IF(ISNA(VLOOKUP(CONCATENATE(M$143,$K8),PDP8E!$H$5:$M$385,5,0)),"",IF(LEN(VLOOKUP(CONCATENATE(M$143,$K8),PDP8E!$H$5:$M$385,5,0))&lt;1,"",VLOOKUP(CONCATENATE(M$143,$K8),PDP8E!$H$5:$M$385,5,0)))</f>
        <v/>
      </c>
      <c r="N148" s="22" t="str">
        <f>IF(ISNA(VLOOKUP(CONCATENATE(M$143,$K8),PDP8E!$H$5:$M$385,6,0)),"",IF(LEN(VLOOKUP(CONCATENATE(M$143,$K8),PDP8E!$H$5:$M$385,6,0))&lt;1,"",VLOOKUP(CONCATENATE(M$143,$K8),PDP8E!$H$5:$M$385,6,0)))</f>
        <v/>
      </c>
      <c r="O148" s="26" t="str">
        <f t="shared" si="5"/>
        <v/>
      </c>
      <c r="P148" s="8"/>
    </row>
    <row r="149" spans="10:16" x14ac:dyDescent="0.2">
      <c r="J149" s="8"/>
      <c r="K149" s="24">
        <v>4</v>
      </c>
      <c r="L149" s="20" t="str">
        <f>IF(ISNA(VLOOKUP(CONCATENATE(M$143,$K9),PDP8E!$H$5:$M$385,2,0)),"",VLOOKUP(CONCATENATE(M$143,$K9),PDP8E!$H$5:$M$385,2,0))</f>
        <v/>
      </c>
      <c r="M149" s="21" t="str">
        <f>IF(ISNA(VLOOKUP(CONCATENATE(M$143,$K9),PDP8E!$H$5:$M$385,5,0)),"",IF(LEN(VLOOKUP(CONCATENATE(M$143,$K9),PDP8E!$H$5:$M$385,5,0))&lt;1,"",VLOOKUP(CONCATENATE(M$143,$K9),PDP8E!$H$5:$M$385,5,0)))</f>
        <v/>
      </c>
      <c r="N149" s="22" t="str">
        <f>IF(ISNA(VLOOKUP(CONCATENATE(M$143,$K9),PDP8E!$H$5:$M$385,6,0)),"",IF(LEN(VLOOKUP(CONCATENATE(M$143,$K9),PDP8E!$H$5:$M$385,6,0))&lt;1,"",VLOOKUP(CONCATENATE(M$143,$K9),PDP8E!$H$5:$M$385,6,0)))</f>
        <v/>
      </c>
      <c r="O149" s="26" t="str">
        <f t="shared" si="5"/>
        <v/>
      </c>
      <c r="P149" s="8"/>
    </row>
    <row r="150" spans="10:16" x14ac:dyDescent="0.2">
      <c r="J150" s="8"/>
      <c r="K150" s="24">
        <v>5</v>
      </c>
      <c r="L150" s="20" t="str">
        <f>IF(ISNA(VLOOKUP(CONCATENATE(M$143,$K10),PDP8E!$H$5:$M$385,2,0)),"",VLOOKUP(CONCATENATE(M$143,$K10),PDP8E!$H$5:$M$385,2,0))</f>
        <v/>
      </c>
      <c r="M150" s="21" t="str">
        <f>IF(ISNA(VLOOKUP(CONCATENATE(M$143,$K10),PDP8E!$H$5:$M$385,5,0)),"",IF(LEN(VLOOKUP(CONCATENATE(M$143,$K10),PDP8E!$H$5:$M$385,5,0))&lt;1,"",VLOOKUP(CONCATENATE(M$143,$K10),PDP8E!$H$5:$M$385,5,0)))</f>
        <v/>
      </c>
      <c r="N150" s="22" t="str">
        <f>IF(ISNA(VLOOKUP(CONCATENATE(M$143,$K10),PDP8E!$H$5:$M$385,6,0)),"",IF(LEN(VLOOKUP(CONCATENATE(M$143,$K10),PDP8E!$H$5:$M$385,6,0))&lt;1,"",VLOOKUP(CONCATENATE(M$143,$K10),PDP8E!$H$5:$M$385,6,0)))</f>
        <v/>
      </c>
      <c r="O150" s="26" t="str">
        <f t="shared" si="5"/>
        <v/>
      </c>
      <c r="P150" s="8"/>
    </row>
    <row r="151" spans="10:16" x14ac:dyDescent="0.2">
      <c r="J151" s="8"/>
      <c r="K151" s="24">
        <v>6</v>
      </c>
      <c r="L151" s="20" t="str">
        <f>IF(ISNA(VLOOKUP(CONCATENATE(M$143,$K11),PDP8E!$H$5:$M$385,2,0)),"",VLOOKUP(CONCATENATE(M$143,$K11),PDP8E!$H$5:$M$385,2,0))</f>
        <v/>
      </c>
      <c r="M151" s="21" t="str">
        <f>IF(ISNA(VLOOKUP(CONCATENATE(M$143,$K11),PDP8E!$H$5:$M$385,5,0)),"",IF(LEN(VLOOKUP(CONCATENATE(M$143,$K11),PDP8E!$H$5:$M$385,5,0))&lt;1,"",VLOOKUP(CONCATENATE(M$143,$K11),PDP8E!$H$5:$M$385,5,0)))</f>
        <v/>
      </c>
      <c r="N151" s="22" t="str">
        <f>IF(ISNA(VLOOKUP(CONCATENATE(M$143,$K11),PDP8E!$H$5:$M$385,6,0)),"",IF(LEN(VLOOKUP(CONCATENATE(M$143,$K11),PDP8E!$H$5:$M$385,6,0))&lt;1,"",VLOOKUP(CONCATENATE(M$143,$K11),PDP8E!$H$5:$M$385,6,0)))</f>
        <v/>
      </c>
      <c r="O151" s="26" t="str">
        <f t="shared" si="5"/>
        <v/>
      </c>
      <c r="P151" s="8"/>
    </row>
    <row r="152" spans="10:16" x14ac:dyDescent="0.2">
      <c r="J152" s="8"/>
      <c r="K152" s="24">
        <v>7</v>
      </c>
      <c r="L152" s="20" t="str">
        <f>IF(ISNA(VLOOKUP(CONCATENATE(M$143,$K12),PDP8E!$H$5:$M$385,2,0)),"",VLOOKUP(CONCATENATE(M$143,$K12),PDP8E!$H$5:$M$385,2,0))</f>
        <v/>
      </c>
      <c r="M152" s="21" t="str">
        <f>IF(ISNA(VLOOKUP(CONCATENATE(M$143,$K12),PDP8E!$H$5:$M$385,5,0)),"",IF(LEN(VLOOKUP(CONCATENATE(M$143,$K12),PDP8E!$H$5:$M$385,5,0))&lt;1,"",VLOOKUP(CONCATENATE(M$143,$K12),PDP8E!$H$5:$M$385,5,0)))</f>
        <v/>
      </c>
      <c r="N152" s="22" t="str">
        <f>IF(ISNA(VLOOKUP(CONCATENATE(M$143,$K12),PDP8E!$H$5:$M$385,6,0)),"",IF(LEN(VLOOKUP(CONCATENATE(M$143,$K12),PDP8E!$H$5:$M$385,6,0))&lt;1,"",VLOOKUP(CONCATENATE(M$143,$K12),PDP8E!$H$5:$M$385,6,0)))</f>
        <v/>
      </c>
      <c r="O152" s="26" t="str">
        <f t="shared" si="5"/>
        <v/>
      </c>
      <c r="P152" s="8"/>
    </row>
    <row r="153" spans="10:16" x14ac:dyDescent="0.2">
      <c r="J153" s="8"/>
      <c r="K153" s="24">
        <v>8</v>
      </c>
      <c r="L153" s="20" t="str">
        <f>IF(ISNA(VLOOKUP(CONCATENATE(M$143,$K13),PDP8E!$H$5:$M$385,2,0)),"",VLOOKUP(CONCATENATE(M$143,$K13),PDP8E!$H$5:$M$385,2,0))</f>
        <v/>
      </c>
      <c r="M153" s="21" t="str">
        <f>IF(ISNA(VLOOKUP(CONCATENATE(M$143,$K13),PDP8E!$H$5:$M$385,5,0)),"",IF(LEN(VLOOKUP(CONCATENATE(M$143,$K13),PDP8E!$H$5:$M$385,5,0))&lt;1,"",VLOOKUP(CONCATENATE(M$143,$K13),PDP8E!$H$5:$M$385,5,0)))</f>
        <v/>
      </c>
      <c r="N153" s="22" t="str">
        <f>IF(ISNA(VLOOKUP(CONCATENATE(M$143,$K13),PDP8E!$H$5:$M$385,6,0)),"",IF(LEN(VLOOKUP(CONCATENATE(M$143,$K13),PDP8E!$H$5:$M$385,6,0))&lt;1,"",VLOOKUP(CONCATENATE(M$143,$K13),PDP8E!$H$5:$M$385,6,0)))</f>
        <v/>
      </c>
      <c r="O153" s="26" t="str">
        <f t="shared" si="5"/>
        <v/>
      </c>
      <c r="P153" s="8"/>
    </row>
    <row r="154" spans="10:16" x14ac:dyDescent="0.2">
      <c r="J154" s="8"/>
      <c r="K154" s="24">
        <v>9</v>
      </c>
      <c r="L154" s="20" t="str">
        <f>IF(ISNA(VLOOKUP(CONCATENATE(M$143,$K14),PDP8E!$H$5:$M$385,2,0)),"",VLOOKUP(CONCATENATE(M$143,$K14),PDP8E!$H$5:$M$385,2,0))</f>
        <v/>
      </c>
      <c r="M154" s="21" t="str">
        <f>IF(ISNA(VLOOKUP(CONCATENATE(M$143,$K14),PDP8E!$H$5:$M$385,5,0)),"",IF(LEN(VLOOKUP(CONCATENATE(M$143,$K14),PDP8E!$H$5:$M$385,5,0))&lt;1,"",VLOOKUP(CONCATENATE(M$143,$K14),PDP8E!$H$5:$M$385,5,0)))</f>
        <v/>
      </c>
      <c r="N154" s="22" t="str">
        <f>IF(ISNA(VLOOKUP(CONCATENATE(M$143,$K14),PDP8E!$H$5:$M$385,6,0)),"",IF(LEN(VLOOKUP(CONCATENATE(M$143,$K14),PDP8E!$H$5:$M$385,6,0))&lt;1,"",VLOOKUP(CONCATENATE(M$143,$K14),PDP8E!$H$5:$M$385,6,0)))</f>
        <v/>
      </c>
      <c r="O154" s="26" t="str">
        <f t="shared" si="5"/>
        <v/>
      </c>
      <c r="P154" s="8"/>
    </row>
    <row r="155" spans="10:16" x14ac:dyDescent="0.2">
      <c r="J155" s="8"/>
      <c r="K155" s="24">
        <v>10</v>
      </c>
      <c r="L155" s="20" t="str">
        <f>IF(ISNA(VLOOKUP(CONCATENATE(M$143,$K15),PDP8E!$H$5:$M$385,2,0)),"",VLOOKUP(CONCATENATE(M$143,$K15),PDP8E!$H$5:$M$385,2,0))</f>
        <v/>
      </c>
      <c r="M155" s="21" t="str">
        <f>IF(ISNA(VLOOKUP(CONCATENATE(M$143,$K15),PDP8E!$H$5:$M$385,5,0)),"",IF(LEN(VLOOKUP(CONCATENATE(M$143,$K15),PDP8E!$H$5:$M$385,5,0))&lt;1,"",VLOOKUP(CONCATENATE(M$143,$K15),PDP8E!$H$5:$M$385,5,0)))</f>
        <v/>
      </c>
      <c r="N155" s="22" t="str">
        <f>IF(ISNA(VLOOKUP(CONCATENATE(M$143,$K15),PDP8E!$H$5:$M$385,6,0)),"",IF(LEN(VLOOKUP(CONCATENATE(M$143,$K15),PDP8E!$H$5:$M$385,6,0))&lt;1,"",VLOOKUP(CONCATENATE(M$143,$K15),PDP8E!$H$5:$M$385,6,0)))</f>
        <v/>
      </c>
      <c r="O155" s="26" t="str">
        <f t="shared" si="5"/>
        <v/>
      </c>
      <c r="P155" s="8"/>
    </row>
    <row r="156" spans="10:16" x14ac:dyDescent="0.2">
      <c r="J156" s="8"/>
      <c r="K156" s="24">
        <v>11</v>
      </c>
      <c r="L156" s="20" t="str">
        <f>IF(ISNA(VLOOKUP(CONCATENATE(M$143,$K16),PDP8E!$H$5:$M$385,2,0)),"",VLOOKUP(CONCATENATE(M$143,$K16),PDP8E!$H$5:$M$385,2,0))</f>
        <v/>
      </c>
      <c r="M156" s="21" t="str">
        <f>IF(ISNA(VLOOKUP(CONCATENATE(M$143,$K16),PDP8E!$H$5:$M$385,5,0)),"",IF(LEN(VLOOKUP(CONCATENATE(M$143,$K16),PDP8E!$H$5:$M$385,5,0))&lt;1,"",VLOOKUP(CONCATENATE(M$143,$K16),PDP8E!$H$5:$M$385,5,0)))</f>
        <v/>
      </c>
      <c r="N156" s="22" t="str">
        <f>IF(ISNA(VLOOKUP(CONCATENATE(M$143,$K16),PDP8E!$H$5:$M$385,6,0)),"",IF(LEN(VLOOKUP(CONCATENATE(M$143,$K16),PDP8E!$H$5:$M$385,6,0))&lt;1,"",VLOOKUP(CONCATENATE(M$143,$K16),PDP8E!$H$5:$M$385,6,0)))</f>
        <v/>
      </c>
      <c r="O156" s="26" t="str">
        <f t="shared" si="5"/>
        <v/>
      </c>
      <c r="P156" s="8"/>
    </row>
    <row r="157" spans="10:16" x14ac:dyDescent="0.2">
      <c r="J157" s="8"/>
      <c r="K157" s="24">
        <v>12</v>
      </c>
      <c r="L157" s="20" t="str">
        <f>IF(ISNA(VLOOKUP(CONCATENATE(M$143,$K17),PDP8E!$H$5:$M$385,2,0)),"",VLOOKUP(CONCATENATE(M$143,$K17),PDP8E!$H$5:$M$385,2,0))</f>
        <v/>
      </c>
      <c r="M157" s="21" t="str">
        <f>IF(ISNA(VLOOKUP(CONCATENATE(M$143,$K17),PDP8E!$H$5:$M$385,5,0)),"",IF(LEN(VLOOKUP(CONCATENATE(M$143,$K17),PDP8E!$H$5:$M$385,5,0))&lt;1,"",VLOOKUP(CONCATENATE(M$143,$K17),PDP8E!$H$5:$M$385,5,0)))</f>
        <v/>
      </c>
      <c r="N157" s="22" t="str">
        <f>IF(ISNA(VLOOKUP(CONCATENATE(M$143,$K17),PDP8E!$H$5:$M$385,6,0)),"",IF(LEN(VLOOKUP(CONCATENATE(M$143,$K17),PDP8E!$H$5:$M$385,6,0))&lt;1,"",VLOOKUP(CONCATENATE(M$143,$K17),PDP8E!$H$5:$M$385,6,0)))</f>
        <v/>
      </c>
      <c r="O157" s="26" t="str">
        <f t="shared" si="5"/>
        <v/>
      </c>
      <c r="P157" s="8"/>
    </row>
    <row r="158" spans="10:16" x14ac:dyDescent="0.2">
      <c r="J158" s="8"/>
      <c r="K158" s="24">
        <v>13</v>
      </c>
      <c r="L158" s="20" t="str">
        <f>IF(ISNA(VLOOKUP(CONCATENATE(M$143,$K18),PDP8E!$H$5:$M$385,2,0)),"",VLOOKUP(CONCATENATE(M$143,$K18),PDP8E!$H$5:$M$385,2,0))</f>
        <v/>
      </c>
      <c r="M158" s="21" t="str">
        <f>IF(ISNA(VLOOKUP(CONCATENATE(M$143,$K18),PDP8E!$H$5:$M$385,5,0)),"",IF(LEN(VLOOKUP(CONCATENATE(M$143,$K18),PDP8E!$H$5:$M$385,5,0))&lt;1,"",VLOOKUP(CONCATENATE(M$143,$K18),PDP8E!$H$5:$M$385,5,0)))</f>
        <v/>
      </c>
      <c r="N158" s="22" t="str">
        <f>IF(ISNA(VLOOKUP(CONCATENATE(M$143,$K18),PDP8E!$H$5:$M$385,6,0)),"",IF(LEN(VLOOKUP(CONCATENATE(M$143,$K18),PDP8E!$H$5:$M$385,6,0))&lt;1,"",VLOOKUP(CONCATENATE(M$143,$K18),PDP8E!$H$5:$M$385,6,0)))</f>
        <v/>
      </c>
      <c r="O158" s="26" t="str">
        <f t="shared" si="5"/>
        <v/>
      </c>
      <c r="P158" s="8"/>
    </row>
    <row r="159" spans="10:16" x14ac:dyDescent="0.2">
      <c r="J159" s="8"/>
      <c r="K159" s="24">
        <v>14</v>
      </c>
      <c r="L159" s="20" t="str">
        <f>IF(ISNA(VLOOKUP(CONCATENATE(M$143,$K19),PDP8E!$H$5:$M$385,2,0)),"",VLOOKUP(CONCATENATE(M$143,$K19),PDP8E!$H$5:$M$385,2,0))</f>
        <v/>
      </c>
      <c r="M159" s="21" t="str">
        <f>IF(ISNA(VLOOKUP(CONCATENATE(M$143,$K19),PDP8E!$H$5:$M$385,5,0)),"",IF(LEN(VLOOKUP(CONCATENATE(M$143,$K19),PDP8E!$H$5:$M$385,5,0))&lt;1,"",VLOOKUP(CONCATENATE(M$143,$K19),PDP8E!$H$5:$M$385,5,0)))</f>
        <v/>
      </c>
      <c r="N159" s="22" t="str">
        <f>IF(ISNA(VLOOKUP(CONCATENATE(M$143,$K19),PDP8E!$H$5:$M$385,6,0)),"",IF(LEN(VLOOKUP(CONCATENATE(M$143,$K19),PDP8E!$H$5:$M$385,6,0))&lt;1,"",VLOOKUP(CONCATENATE(M$143,$K19),PDP8E!$H$5:$M$385,6,0)))</f>
        <v/>
      </c>
      <c r="O159" s="26" t="str">
        <f t="shared" si="5"/>
        <v/>
      </c>
      <c r="P159" s="8"/>
    </row>
    <row r="160" spans="10:16" x14ac:dyDescent="0.2">
      <c r="J160" s="8"/>
      <c r="K160" s="24">
        <v>15</v>
      </c>
      <c r="L160" s="20" t="str">
        <f>IF(ISNA(VLOOKUP(CONCATENATE(M$143,$K20),PDP8E!$H$5:$M$385,2,0)),"",VLOOKUP(CONCATENATE(M$143,$K20),PDP8E!$H$5:$M$385,2,0))</f>
        <v/>
      </c>
      <c r="M160" s="21" t="str">
        <f>IF(ISNA(VLOOKUP(CONCATENATE(M$143,$K20),PDP8E!$H$5:$M$385,5,0)),"",IF(LEN(VLOOKUP(CONCATENATE(M$143,$K20),PDP8E!$H$5:$M$385,5,0))&lt;1,"",VLOOKUP(CONCATENATE(M$143,$K20),PDP8E!$H$5:$M$385,5,0)))</f>
        <v/>
      </c>
      <c r="N160" s="22" t="str">
        <f>IF(ISNA(VLOOKUP(CONCATENATE(M$143,$K20),PDP8E!$H$5:$M$385,6,0)),"",IF(LEN(VLOOKUP(CONCATENATE(M$143,$K20),PDP8E!$H$5:$M$385,6,0))&lt;1,"",VLOOKUP(CONCATENATE(M$143,$K20),PDP8E!$H$5:$M$385,6,0)))</f>
        <v/>
      </c>
      <c r="O160" s="26" t="str">
        <f t="shared" si="5"/>
        <v/>
      </c>
      <c r="P160" s="8"/>
    </row>
    <row r="161" spans="10:16" x14ac:dyDescent="0.2">
      <c r="J161" s="8"/>
      <c r="K161" s="24">
        <v>16</v>
      </c>
      <c r="L161" s="20" t="str">
        <f>IF(ISNA(VLOOKUP(CONCATENATE(M$143,$K21),PDP8E!$H$5:$M$385,2,0)),"",VLOOKUP(CONCATENATE(M$143,$K21),PDP8E!$H$5:$M$385,2,0))</f>
        <v/>
      </c>
      <c r="M161" s="21" t="str">
        <f>IF(ISNA(VLOOKUP(CONCATENATE(M$143,$K21),PDP8E!$H$5:$M$385,5,0)),"",IF(LEN(VLOOKUP(CONCATENATE(M$143,$K21),PDP8E!$H$5:$M$385,5,0))&lt;1,"",VLOOKUP(CONCATENATE(M$143,$K21),PDP8E!$H$5:$M$385,5,0)))</f>
        <v/>
      </c>
      <c r="N161" s="22" t="str">
        <f>IF(ISNA(VLOOKUP(CONCATENATE(M$143,$K21),PDP8E!$H$5:$M$385,6,0)),"",IF(LEN(VLOOKUP(CONCATENATE(M$143,$K21),PDP8E!$H$5:$M$385,6,0))&lt;1,"",VLOOKUP(CONCATENATE(M$143,$K21),PDP8E!$H$5:$M$385,6,0)))</f>
        <v/>
      </c>
      <c r="O161" s="26" t="str">
        <f t="shared" si="5"/>
        <v/>
      </c>
      <c r="P161" s="8"/>
    </row>
    <row r="162" spans="10:16" x14ac:dyDescent="0.2">
      <c r="J162" s="8"/>
      <c r="K162" s="24">
        <v>17</v>
      </c>
      <c r="L162" s="20" t="str">
        <f>IF(ISNA(VLOOKUP(CONCATENATE(M$143,$K22),PDP8E!$H$5:$M$385,2,0)),"",VLOOKUP(CONCATENATE(M$143,$K22),PDP8E!$H$5:$M$385,2,0))</f>
        <v/>
      </c>
      <c r="M162" s="21" t="str">
        <f>IF(ISNA(VLOOKUP(CONCATENATE(M$143,$K22),PDP8E!$H$5:$M$385,5,0)),"",IF(LEN(VLOOKUP(CONCATENATE(M$143,$K22),PDP8E!$H$5:$M$385,5,0))&lt;1,"",VLOOKUP(CONCATENATE(M$143,$K22),PDP8E!$H$5:$M$385,5,0)))</f>
        <v/>
      </c>
      <c r="N162" s="22" t="str">
        <f>IF(ISNA(VLOOKUP(CONCATENATE(M$143,$K22),PDP8E!$H$5:$M$385,6,0)),"",IF(LEN(VLOOKUP(CONCATENATE(M$143,$K22),PDP8E!$H$5:$M$385,6,0))&lt;1,"",VLOOKUP(CONCATENATE(M$143,$K22),PDP8E!$H$5:$M$385,6,0)))</f>
        <v/>
      </c>
      <c r="O162" s="26" t="str">
        <f t="shared" si="5"/>
        <v/>
      </c>
      <c r="P162" s="8"/>
    </row>
    <row r="163" spans="10:16" x14ac:dyDescent="0.2">
      <c r="J163" s="8"/>
      <c r="K163" s="24">
        <v>18</v>
      </c>
      <c r="L163" s="20" t="str">
        <f>IF(ISNA(VLOOKUP(CONCATENATE(M$143,$K23),PDP8E!$H$5:$M$385,2,0)),"",VLOOKUP(CONCATENATE(M$143,$K23),PDP8E!$H$5:$M$385,2,0))</f>
        <v/>
      </c>
      <c r="M163" s="21" t="str">
        <f>IF(ISNA(VLOOKUP(CONCATENATE(M$143,$K23),PDP8E!$H$5:$M$385,5,0)),"",IF(LEN(VLOOKUP(CONCATENATE(M$143,$K23),PDP8E!$H$5:$M$385,5,0))&lt;1,"",VLOOKUP(CONCATENATE(M$143,$K23),PDP8E!$H$5:$M$385,5,0)))</f>
        <v/>
      </c>
      <c r="N163" s="22" t="str">
        <f>IF(ISNA(VLOOKUP(CONCATENATE(M$143,$K23),PDP8E!$H$5:$M$385,6,0)),"",IF(LEN(VLOOKUP(CONCATENATE(M$143,$K23),PDP8E!$H$5:$M$385,6,0))&lt;1,"",VLOOKUP(CONCATENATE(M$143,$K23),PDP8E!$H$5:$M$385,6,0)))</f>
        <v/>
      </c>
      <c r="O163" s="26" t="str">
        <f t="shared" si="5"/>
        <v/>
      </c>
      <c r="P163" s="8"/>
    </row>
    <row r="164" spans="10:16" x14ac:dyDescent="0.2">
      <c r="J164" s="8"/>
      <c r="K164" s="24">
        <v>19</v>
      </c>
      <c r="L164" s="20" t="str">
        <f>IF(ISNA(VLOOKUP(CONCATENATE(M$143,$K24),PDP8E!$H$5:$M$385,2,0)),"",VLOOKUP(CONCATENATE(M$143,$K24),PDP8E!$H$5:$M$385,2,0))</f>
        <v/>
      </c>
      <c r="M164" s="21" t="str">
        <f>IF(ISNA(VLOOKUP(CONCATENATE(M$143,$K24),PDP8E!$H$5:$M$385,5,0)),"",IF(LEN(VLOOKUP(CONCATENATE(M$143,$K24),PDP8E!$H$5:$M$385,5,0))&lt;1,"",VLOOKUP(CONCATENATE(M$143,$K24),PDP8E!$H$5:$M$385,5,0)))</f>
        <v/>
      </c>
      <c r="N164" s="22" t="str">
        <f>IF(ISNA(VLOOKUP(CONCATENATE(M$143,$K24),PDP8E!$H$5:$M$385,6,0)),"",IF(LEN(VLOOKUP(CONCATENATE(M$143,$K24),PDP8E!$H$5:$M$385,6,0))&lt;1,"",VLOOKUP(CONCATENATE(M$143,$K24),PDP8E!$H$5:$M$385,6,0)))</f>
        <v/>
      </c>
      <c r="O164" s="26" t="str">
        <f t="shared" si="5"/>
        <v/>
      </c>
      <c r="P164" s="8"/>
    </row>
    <row r="165" spans="10:16" x14ac:dyDescent="0.2">
      <c r="J165" s="8"/>
      <c r="K165" s="24">
        <v>20</v>
      </c>
      <c r="L165" s="20" t="str">
        <f>IF(ISNA(VLOOKUP(CONCATENATE(M$143,$K25),PDP8E!$H$5:$M$385,2,0)),"",VLOOKUP(CONCATENATE(M$143,$K25),PDP8E!$H$5:$M$385,2,0))</f>
        <v/>
      </c>
      <c r="M165" s="21" t="str">
        <f>IF(ISNA(VLOOKUP(CONCATENATE(M$143,$K25),PDP8E!$H$5:$M$385,5,0)),"",IF(LEN(VLOOKUP(CONCATENATE(M$143,$K25),PDP8E!$H$5:$M$385,5,0))&lt;1,"",VLOOKUP(CONCATENATE(M$143,$K25),PDP8E!$H$5:$M$385,5,0)))</f>
        <v/>
      </c>
      <c r="N165" s="22" t="str">
        <f>IF(ISNA(VLOOKUP(CONCATENATE(M$143,$K25),PDP8E!$H$5:$M$385,6,0)),"",IF(LEN(VLOOKUP(CONCATENATE(M$143,$K25),PDP8E!$H$5:$M$385,6,0))&lt;1,"",VLOOKUP(CONCATENATE(M$143,$K25),PDP8E!$H$5:$M$385,6,0)))</f>
        <v/>
      </c>
      <c r="O165" s="26" t="str">
        <f t="shared" si="5"/>
        <v/>
      </c>
      <c r="P165" s="8"/>
    </row>
    <row r="166" spans="10:16" x14ac:dyDescent="0.2">
      <c r="J166" s="8"/>
      <c r="K166" s="24">
        <v>21</v>
      </c>
      <c r="L166" s="20" t="str">
        <f>IF(ISNA(VLOOKUP(CONCATENATE(M$143,$K26),PDP8E!$H$5:$M$385,2,0)),"",VLOOKUP(CONCATENATE(M$143,$K26),PDP8E!$H$5:$M$385,2,0))</f>
        <v/>
      </c>
      <c r="M166" s="21" t="str">
        <f>IF(ISNA(VLOOKUP(CONCATENATE(M$143,$K26),PDP8E!$H$5:$M$385,5,0)),"",IF(LEN(VLOOKUP(CONCATENATE(M$143,$K26),PDP8E!$H$5:$M$385,5,0))&lt;1,"",VLOOKUP(CONCATENATE(M$143,$K26),PDP8E!$H$5:$M$385,5,0)))</f>
        <v/>
      </c>
      <c r="N166" s="22" t="str">
        <f>IF(ISNA(VLOOKUP(CONCATENATE(M$143,$K26),PDP8E!$H$5:$M$385,6,0)),"",IF(LEN(VLOOKUP(CONCATENATE(M$143,$K26),PDP8E!$H$5:$M$385,6,0))&lt;1,"",VLOOKUP(CONCATENATE(M$143,$K26),PDP8E!$H$5:$M$385,6,0)))</f>
        <v/>
      </c>
      <c r="O166" s="26" t="str">
        <f t="shared" si="5"/>
        <v/>
      </c>
      <c r="P166" s="8"/>
    </row>
    <row r="167" spans="10:16" x14ac:dyDescent="0.2">
      <c r="J167" s="8"/>
      <c r="K167" s="24">
        <v>22</v>
      </c>
      <c r="L167" s="20" t="str">
        <f>IF(ISNA(VLOOKUP(CONCATENATE(M$143,$K27),PDP8E!$H$5:$M$385,2,0)),"",VLOOKUP(CONCATENATE(M$143,$K27),PDP8E!$H$5:$M$385,2,0))</f>
        <v/>
      </c>
      <c r="M167" s="21" t="str">
        <f>IF(ISNA(VLOOKUP(CONCATENATE(M$143,$K27),PDP8E!$H$5:$M$385,5,0)),"",IF(LEN(VLOOKUP(CONCATENATE(M$143,$K27),PDP8E!$H$5:$M$385,5,0))&lt;1,"",VLOOKUP(CONCATENATE(M$143,$K27),PDP8E!$H$5:$M$385,5,0)))</f>
        <v/>
      </c>
      <c r="N167" s="22" t="str">
        <f>IF(ISNA(VLOOKUP(CONCATENATE(M$143,$K27),PDP8E!$H$5:$M$385,6,0)),"",IF(LEN(VLOOKUP(CONCATENATE(M$143,$K27),PDP8E!$H$5:$M$385,6,0))&lt;1,"",VLOOKUP(CONCATENATE(M$143,$K27),PDP8E!$H$5:$M$385,6,0)))</f>
        <v/>
      </c>
      <c r="O167" s="26" t="str">
        <f t="shared" si="5"/>
        <v/>
      </c>
      <c r="P167" s="8"/>
    </row>
    <row r="168" spans="10:16" x14ac:dyDescent="0.2">
      <c r="J168" s="8"/>
      <c r="K168" s="24">
        <v>23</v>
      </c>
      <c r="L168" s="20" t="str">
        <f>IF(ISNA(VLOOKUP(CONCATENATE(M$143,$K28),PDP8E!$H$5:$M$385,2,0)),"",VLOOKUP(CONCATENATE(M$143,$K28),PDP8E!$H$5:$M$385,2,0))</f>
        <v/>
      </c>
      <c r="M168" s="21" t="str">
        <f>IF(ISNA(VLOOKUP(CONCATENATE(M$143,$K28),PDP8E!$H$5:$M$385,5,0)),"",IF(LEN(VLOOKUP(CONCATENATE(M$143,$K28),PDP8E!$H$5:$M$385,5,0))&lt;1,"",VLOOKUP(CONCATENATE(M$143,$K28),PDP8E!$H$5:$M$385,5,0)))</f>
        <v/>
      </c>
      <c r="N168" s="22" t="str">
        <f>IF(ISNA(VLOOKUP(CONCATENATE(M$143,$K28),PDP8E!$H$5:$M$385,6,0)),"",IF(LEN(VLOOKUP(CONCATENATE(M$143,$K28),PDP8E!$H$5:$M$385,6,0))&lt;1,"",VLOOKUP(CONCATENATE(M$143,$K28),PDP8E!$H$5:$M$385,6,0)))</f>
        <v/>
      </c>
      <c r="O168" s="26" t="str">
        <f t="shared" si="5"/>
        <v/>
      </c>
      <c r="P168" s="8"/>
    </row>
    <row r="169" spans="10:16" ht="17" thickBot="1" x14ac:dyDescent="0.25">
      <c r="J169" s="8"/>
      <c r="K169" s="27">
        <v>24</v>
      </c>
      <c r="L169" s="28" t="str">
        <f>IF(ISNA(VLOOKUP(CONCATENATE(M$143,$K29),PDP8E!$H$5:$M$385,2,0)),"",VLOOKUP(CONCATENATE(M$143,$K29),PDP8E!$H$5:$M$385,2,0))</f>
        <v/>
      </c>
      <c r="M169" s="29" t="str">
        <f>IF(ISNA(VLOOKUP(CONCATENATE(M$143,$K29),PDP8E!$H$5:$M$385,5,0)),"",IF(LEN(VLOOKUP(CONCATENATE(M$143,$K29),PDP8E!$H$5:$M$385,5,0))&lt;1,"",VLOOKUP(CONCATENATE(M$143,$K29),PDP8E!$H$5:$M$385,5,0)))</f>
        <v/>
      </c>
      <c r="N169" s="30" t="str">
        <f>IF(ISNA(VLOOKUP(CONCATENATE(M$143,$K29),PDP8E!$H$5:$M$385,6,0)),"",IF(LEN(VLOOKUP(CONCATENATE(M$143,$K29),PDP8E!$H$5:$M$385,6,0))&lt;1,"",VLOOKUP(CONCATENATE(M$143,$K29),PDP8E!$H$5:$M$385,6,0)))</f>
        <v/>
      </c>
      <c r="O169" s="31" t="str">
        <f t="shared" si="5"/>
        <v/>
      </c>
      <c r="P169" s="8"/>
    </row>
    <row r="170" spans="10:16" ht="17" thickBot="1" x14ac:dyDescent="0.25">
      <c r="J170" s="8"/>
      <c r="K170" s="8"/>
      <c r="L170" s="9"/>
      <c r="M170" s="8"/>
      <c r="N170" s="10"/>
      <c r="O170" s="8"/>
      <c r="P170" s="8"/>
    </row>
    <row r="171" spans="10:16" ht="17" thickBot="1" x14ac:dyDescent="0.25">
      <c r="J171" s="8"/>
      <c r="K171" s="8"/>
      <c r="L171" s="11" t="s">
        <v>750</v>
      </c>
      <c r="M171" s="12">
        <f>$C$9</f>
        <v>0</v>
      </c>
      <c r="N171" s="13" t="str">
        <f>$D$9</f>
        <v/>
      </c>
      <c r="O171" s="8"/>
      <c r="P171" s="8"/>
    </row>
    <row r="172" spans="10:16" ht="17" thickBot="1" x14ac:dyDescent="0.25">
      <c r="J172" s="8"/>
      <c r="K172" s="8"/>
      <c r="L172" s="9"/>
      <c r="M172" s="9"/>
      <c r="N172" s="9"/>
      <c r="O172" s="8"/>
      <c r="P172" s="8"/>
    </row>
    <row r="173" spans="10:16" ht="17" thickBot="1" x14ac:dyDescent="0.25">
      <c r="J173" s="8"/>
      <c r="K173" s="14"/>
      <c r="L173" s="15" t="s">
        <v>751</v>
      </c>
      <c r="M173" s="16" t="s">
        <v>752</v>
      </c>
      <c r="N173" s="17" t="s">
        <v>82</v>
      </c>
      <c r="O173" s="18"/>
      <c r="P173" s="8"/>
    </row>
    <row r="174" spans="10:16" x14ac:dyDescent="0.2">
      <c r="J174" s="8"/>
      <c r="K174" s="19">
        <v>1</v>
      </c>
      <c r="L174" s="20" t="str">
        <f>IF(ISNA(VLOOKUP(CONCATENATE(M$171,$K6),PDP8E!$H$5:$M$385,2,0)),"",VLOOKUP(CONCATENATE(M$171,$K6),PDP8E!$H$5:$M$385,2,0))</f>
        <v/>
      </c>
      <c r="M174" s="21" t="str">
        <f>IF(ISNA(VLOOKUP(CONCATENATE(M$171,$K6),PDP8E!$H$5:$M$385,5,0)),"",IF(LEN(VLOOKUP(CONCATENATE(M$171,$K6),PDP8E!$H$5:$M$385,5,0))&lt;1,"",VLOOKUP(CONCATENATE(M$171,$K6),PDP8E!$H$5:$M$385,5,0)))</f>
        <v/>
      </c>
      <c r="N174" s="22" t="str">
        <f>IF(ISNA(VLOOKUP(CONCATENATE(M$171,$K6),PDP8E!$H$5:$M$385,6,0)),"",IF(LEN(VLOOKUP(CONCATENATE(M$171,$K6),PDP8E!$H$5:$M$385,6,0))&lt;1,"",VLOOKUP(CONCATENATE(M$171,$K6),PDP8E!$H$5:$M$385,6,0)))</f>
        <v/>
      </c>
      <c r="O174" s="23" t="str">
        <f>IF(LEN(L174)&lt;1,"",$M$171)</f>
        <v/>
      </c>
      <c r="P174" s="8"/>
    </row>
    <row r="175" spans="10:16" x14ac:dyDescent="0.2">
      <c r="J175" s="8"/>
      <c r="K175" s="24">
        <v>2</v>
      </c>
      <c r="L175" s="20" t="str">
        <f>IF(ISNA(VLOOKUP(CONCATENATE(M$171,$K7),PDP8E!$H$5:$M$385,2,0)),"",VLOOKUP(CONCATENATE(M$171,$K7),PDP8E!$H$5:$M$385,2,0))</f>
        <v/>
      </c>
      <c r="M175" s="21" t="str">
        <f>IF(ISNA(VLOOKUP(CONCATENATE(M$171,$K7),PDP8E!$H$5:$M$385,5,0)),"",IF(LEN(VLOOKUP(CONCATENATE(M$171,$K7),PDP8E!$H$5:$M$385,5,0))&lt;1,"",VLOOKUP(CONCATENATE(M$171,$K7),PDP8E!$H$5:$M$385,5,0)))</f>
        <v/>
      </c>
      <c r="N175" s="22" t="str">
        <f>IF(ISNA(VLOOKUP(CONCATENATE(M$171,$K7),PDP8E!$H$5:$M$385,6,0)),"",IF(LEN(VLOOKUP(CONCATENATE(M$171,$K7),PDP8E!$H$5:$M$385,6,0))&lt;1,"",VLOOKUP(CONCATENATE(M$171,$K7),PDP8E!$H$5:$M$385,6,0)))</f>
        <v/>
      </c>
      <c r="O175" s="26" t="str">
        <f t="shared" ref="O175:O197" si="6">IF(LEN(L175)&lt;1,"",$M$171)</f>
        <v/>
      </c>
      <c r="P175" s="8"/>
    </row>
    <row r="176" spans="10:16" x14ac:dyDescent="0.2">
      <c r="J176" s="8"/>
      <c r="K176" s="24">
        <v>3</v>
      </c>
      <c r="L176" s="20" t="str">
        <f>IF(ISNA(VLOOKUP(CONCATENATE(M$171,$K8),PDP8E!$H$5:$M$385,2,0)),"",VLOOKUP(CONCATENATE(M$171,$K8),PDP8E!$H$5:$M$385,2,0))</f>
        <v/>
      </c>
      <c r="M176" s="21" t="str">
        <f>IF(ISNA(VLOOKUP(CONCATENATE(M$171,$K8),PDP8E!$H$5:$M$385,5,0)),"",IF(LEN(VLOOKUP(CONCATENATE(M$171,$K8),PDP8E!$H$5:$M$385,5,0))&lt;1,"",VLOOKUP(CONCATENATE(M$171,$K8),PDP8E!$H$5:$M$385,5,0)))</f>
        <v/>
      </c>
      <c r="N176" s="22" t="str">
        <f>IF(ISNA(VLOOKUP(CONCATENATE(M$171,$K8),PDP8E!$H$5:$M$385,6,0)),"",IF(LEN(VLOOKUP(CONCATENATE(M$171,$K8),PDP8E!$H$5:$M$385,6,0))&lt;1,"",VLOOKUP(CONCATENATE(M$171,$K8),PDP8E!$H$5:$M$385,6,0)))</f>
        <v/>
      </c>
      <c r="O176" s="26" t="str">
        <f t="shared" si="6"/>
        <v/>
      </c>
      <c r="P176" s="8"/>
    </row>
    <row r="177" spans="10:16" x14ac:dyDescent="0.2">
      <c r="J177" s="8"/>
      <c r="K177" s="24">
        <v>4</v>
      </c>
      <c r="L177" s="20" t="str">
        <f>IF(ISNA(VLOOKUP(CONCATENATE(M$171,$K9),PDP8E!$H$5:$M$385,2,0)),"",VLOOKUP(CONCATENATE(M$171,$K9),PDP8E!$H$5:$M$385,2,0))</f>
        <v/>
      </c>
      <c r="M177" s="21" t="str">
        <f>IF(ISNA(VLOOKUP(CONCATENATE(M$171,$K9),PDP8E!$H$5:$M$385,5,0)),"",IF(LEN(VLOOKUP(CONCATENATE(M$171,$K9),PDP8E!$H$5:$M$385,5,0))&lt;1,"",VLOOKUP(CONCATENATE(M$171,$K9),PDP8E!$H$5:$M$385,5,0)))</f>
        <v/>
      </c>
      <c r="N177" s="22" t="str">
        <f>IF(ISNA(VLOOKUP(CONCATENATE(M$171,$K9),PDP8E!$H$5:$M$385,6,0)),"",IF(LEN(VLOOKUP(CONCATENATE(M$171,$K9),PDP8E!$H$5:$M$385,6,0))&lt;1,"",VLOOKUP(CONCATENATE(M$171,$K9),PDP8E!$H$5:$M$385,6,0)))</f>
        <v/>
      </c>
      <c r="O177" s="26" t="str">
        <f t="shared" si="6"/>
        <v/>
      </c>
      <c r="P177" s="8"/>
    </row>
    <row r="178" spans="10:16" x14ac:dyDescent="0.2">
      <c r="J178" s="8"/>
      <c r="K178" s="24">
        <v>5</v>
      </c>
      <c r="L178" s="20" t="str">
        <f>IF(ISNA(VLOOKUP(CONCATENATE(M$171,$K10),PDP8E!$H$5:$M$385,2,0)),"",VLOOKUP(CONCATENATE(M$171,$K10),PDP8E!$H$5:$M$385,2,0))</f>
        <v/>
      </c>
      <c r="M178" s="21" t="str">
        <f>IF(ISNA(VLOOKUP(CONCATENATE(M$171,$K10),PDP8E!$H$5:$M$385,5,0)),"",IF(LEN(VLOOKUP(CONCATENATE(M$171,$K10),PDP8E!$H$5:$M$385,5,0))&lt;1,"",VLOOKUP(CONCATENATE(M$171,$K10),PDP8E!$H$5:$M$385,5,0)))</f>
        <v/>
      </c>
      <c r="N178" s="22" t="str">
        <f>IF(ISNA(VLOOKUP(CONCATENATE(M$171,$K10),PDP8E!$H$5:$M$385,6,0)),"",IF(LEN(VLOOKUP(CONCATENATE(M$171,$K10),PDP8E!$H$5:$M$385,6,0))&lt;1,"",VLOOKUP(CONCATENATE(M$171,$K10),PDP8E!$H$5:$M$385,6,0)))</f>
        <v/>
      </c>
      <c r="O178" s="26" t="str">
        <f t="shared" si="6"/>
        <v/>
      </c>
      <c r="P178" s="8"/>
    </row>
    <row r="179" spans="10:16" x14ac:dyDescent="0.2">
      <c r="J179" s="8"/>
      <c r="K179" s="24">
        <v>6</v>
      </c>
      <c r="L179" s="20" t="str">
        <f>IF(ISNA(VLOOKUP(CONCATENATE(M$171,$K11),PDP8E!$H$5:$M$385,2,0)),"",VLOOKUP(CONCATENATE(M$171,$K11),PDP8E!$H$5:$M$385,2,0))</f>
        <v/>
      </c>
      <c r="M179" s="21" t="str">
        <f>IF(ISNA(VLOOKUP(CONCATENATE(M$171,$K11),PDP8E!$H$5:$M$385,5,0)),"",IF(LEN(VLOOKUP(CONCATENATE(M$171,$K11),PDP8E!$H$5:$M$385,5,0))&lt;1,"",VLOOKUP(CONCATENATE(M$171,$K11),PDP8E!$H$5:$M$385,5,0)))</f>
        <v/>
      </c>
      <c r="N179" s="22" t="str">
        <f>IF(ISNA(VLOOKUP(CONCATENATE(M$171,$K11),PDP8E!$H$5:$M$385,6,0)),"",IF(LEN(VLOOKUP(CONCATENATE(M$171,$K11),PDP8E!$H$5:$M$385,6,0))&lt;1,"",VLOOKUP(CONCATENATE(M$171,$K11),PDP8E!$H$5:$M$385,6,0)))</f>
        <v/>
      </c>
      <c r="O179" s="26" t="str">
        <f t="shared" si="6"/>
        <v/>
      </c>
      <c r="P179" s="8"/>
    </row>
    <row r="180" spans="10:16" x14ac:dyDescent="0.2">
      <c r="J180" s="8"/>
      <c r="K180" s="24">
        <v>7</v>
      </c>
      <c r="L180" s="20" t="str">
        <f>IF(ISNA(VLOOKUP(CONCATENATE(M$171,$K12),PDP8E!$H$5:$M$385,2,0)),"",VLOOKUP(CONCATENATE(M$171,$K12),PDP8E!$H$5:$M$385,2,0))</f>
        <v/>
      </c>
      <c r="M180" s="21" t="str">
        <f>IF(ISNA(VLOOKUP(CONCATENATE(M$171,$K12),PDP8E!$H$5:$M$385,5,0)),"",IF(LEN(VLOOKUP(CONCATENATE(M$171,$K12),PDP8E!$H$5:$M$385,5,0))&lt;1,"",VLOOKUP(CONCATENATE(M$171,$K12),PDP8E!$H$5:$M$385,5,0)))</f>
        <v/>
      </c>
      <c r="N180" s="22" t="str">
        <f>IF(ISNA(VLOOKUP(CONCATENATE(M$171,$K12),PDP8E!$H$5:$M$385,6,0)),"",IF(LEN(VLOOKUP(CONCATENATE(M$171,$K12),PDP8E!$H$5:$M$385,6,0))&lt;1,"",VLOOKUP(CONCATENATE(M$171,$K12),PDP8E!$H$5:$M$385,6,0)))</f>
        <v/>
      </c>
      <c r="O180" s="26" t="str">
        <f t="shared" si="6"/>
        <v/>
      </c>
      <c r="P180" s="8"/>
    </row>
    <row r="181" spans="10:16" x14ac:dyDescent="0.2">
      <c r="J181" s="8"/>
      <c r="K181" s="24">
        <v>8</v>
      </c>
      <c r="L181" s="20" t="str">
        <f>IF(ISNA(VLOOKUP(CONCATENATE(M$171,$K13),PDP8E!$H$5:$M$385,2,0)),"",VLOOKUP(CONCATENATE(M$171,$K13),PDP8E!$H$5:$M$385,2,0))</f>
        <v/>
      </c>
      <c r="M181" s="21" t="str">
        <f>IF(ISNA(VLOOKUP(CONCATENATE(M$171,$K13),PDP8E!$H$5:$M$385,5,0)),"",IF(LEN(VLOOKUP(CONCATENATE(M$171,$K13),PDP8E!$H$5:$M$385,5,0))&lt;1,"",VLOOKUP(CONCATENATE(M$171,$K13),PDP8E!$H$5:$M$385,5,0)))</f>
        <v/>
      </c>
      <c r="N181" s="22" t="str">
        <f>IF(ISNA(VLOOKUP(CONCATENATE(M$171,$K13),PDP8E!$H$5:$M$385,6,0)),"",IF(LEN(VLOOKUP(CONCATENATE(M$171,$K13),PDP8E!$H$5:$M$385,6,0))&lt;1,"",VLOOKUP(CONCATENATE(M$171,$K13),PDP8E!$H$5:$M$385,6,0)))</f>
        <v/>
      </c>
      <c r="O181" s="26" t="str">
        <f t="shared" si="6"/>
        <v/>
      </c>
      <c r="P181" s="8"/>
    </row>
    <row r="182" spans="10:16" x14ac:dyDescent="0.2">
      <c r="J182" s="8"/>
      <c r="K182" s="24">
        <v>9</v>
      </c>
      <c r="L182" s="20" t="str">
        <f>IF(ISNA(VLOOKUP(CONCATENATE(M$171,$K14),PDP8E!$H$5:$M$385,2,0)),"",VLOOKUP(CONCATENATE(M$171,$K14),PDP8E!$H$5:$M$385,2,0))</f>
        <v/>
      </c>
      <c r="M182" s="21" t="str">
        <f>IF(ISNA(VLOOKUP(CONCATENATE(M$171,$K14),PDP8E!$H$5:$M$385,5,0)),"",IF(LEN(VLOOKUP(CONCATENATE(M$171,$K14),PDP8E!$H$5:$M$385,5,0))&lt;1,"",VLOOKUP(CONCATENATE(M$171,$K14),PDP8E!$H$5:$M$385,5,0)))</f>
        <v/>
      </c>
      <c r="N182" s="22" t="str">
        <f>IF(ISNA(VLOOKUP(CONCATENATE(M$171,$K14),PDP8E!$H$5:$M$385,6,0)),"",IF(LEN(VLOOKUP(CONCATENATE(M$171,$K14),PDP8E!$H$5:$M$385,6,0))&lt;1,"",VLOOKUP(CONCATENATE(M$171,$K14),PDP8E!$H$5:$M$385,6,0)))</f>
        <v/>
      </c>
      <c r="O182" s="26" t="str">
        <f t="shared" si="6"/>
        <v/>
      </c>
      <c r="P182" s="8"/>
    </row>
    <row r="183" spans="10:16" x14ac:dyDescent="0.2">
      <c r="J183" s="8"/>
      <c r="K183" s="24">
        <v>10</v>
      </c>
      <c r="L183" s="20" t="str">
        <f>IF(ISNA(VLOOKUP(CONCATENATE(M$171,$K15),PDP8E!$H$5:$M$385,2,0)),"",VLOOKUP(CONCATENATE(M$171,$K15),PDP8E!$H$5:$M$385,2,0))</f>
        <v/>
      </c>
      <c r="M183" s="21" t="str">
        <f>IF(ISNA(VLOOKUP(CONCATENATE(M$171,$K15),PDP8E!$H$5:$M$385,5,0)),"",IF(LEN(VLOOKUP(CONCATENATE(M$171,$K15),PDP8E!$H$5:$M$385,5,0))&lt;1,"",VLOOKUP(CONCATENATE(M$171,$K15),PDP8E!$H$5:$M$385,5,0)))</f>
        <v/>
      </c>
      <c r="N183" s="22" t="str">
        <f>IF(ISNA(VLOOKUP(CONCATENATE(M$171,$K15),PDP8E!$H$5:$M$385,6,0)),"",IF(LEN(VLOOKUP(CONCATENATE(M$171,$K15),PDP8E!$H$5:$M$385,6,0))&lt;1,"",VLOOKUP(CONCATENATE(M$171,$K15),PDP8E!$H$5:$M$385,6,0)))</f>
        <v/>
      </c>
      <c r="O183" s="26" t="str">
        <f t="shared" si="6"/>
        <v/>
      </c>
      <c r="P183" s="8"/>
    </row>
    <row r="184" spans="10:16" x14ac:dyDescent="0.2">
      <c r="J184" s="8"/>
      <c r="K184" s="24">
        <v>11</v>
      </c>
      <c r="L184" s="20" t="str">
        <f>IF(ISNA(VLOOKUP(CONCATENATE(M$171,$K16),PDP8E!$H$5:$M$385,2,0)),"",VLOOKUP(CONCATENATE(M$171,$K16),PDP8E!$H$5:$M$385,2,0))</f>
        <v/>
      </c>
      <c r="M184" s="21" t="str">
        <f>IF(ISNA(VLOOKUP(CONCATENATE(M$171,$K16),PDP8E!$H$5:$M$385,5,0)),"",IF(LEN(VLOOKUP(CONCATENATE(M$171,$K16),PDP8E!$H$5:$M$385,5,0))&lt;1,"",VLOOKUP(CONCATENATE(M$171,$K16),PDP8E!$H$5:$M$385,5,0)))</f>
        <v/>
      </c>
      <c r="N184" s="22" t="str">
        <f>IF(ISNA(VLOOKUP(CONCATENATE(M$171,$K16),PDP8E!$H$5:$M$385,6,0)),"",IF(LEN(VLOOKUP(CONCATENATE(M$171,$K16),PDP8E!$H$5:$M$385,6,0))&lt;1,"",VLOOKUP(CONCATENATE(M$171,$K16),PDP8E!$H$5:$M$385,6,0)))</f>
        <v/>
      </c>
      <c r="O184" s="26" t="str">
        <f t="shared" si="6"/>
        <v/>
      </c>
      <c r="P184" s="8"/>
    </row>
    <row r="185" spans="10:16" x14ac:dyDescent="0.2">
      <c r="J185" s="8"/>
      <c r="K185" s="24">
        <v>12</v>
      </c>
      <c r="L185" s="20" t="str">
        <f>IF(ISNA(VLOOKUP(CONCATENATE(M$171,$K17),PDP8E!$H$5:$M$385,2,0)),"",VLOOKUP(CONCATENATE(M$171,$K17),PDP8E!$H$5:$M$385,2,0))</f>
        <v/>
      </c>
      <c r="M185" s="21" t="str">
        <f>IF(ISNA(VLOOKUP(CONCATENATE(M$171,$K17),PDP8E!$H$5:$M$385,5,0)),"",IF(LEN(VLOOKUP(CONCATENATE(M$171,$K17),PDP8E!$H$5:$M$385,5,0))&lt;1,"",VLOOKUP(CONCATENATE(M$171,$K17),PDP8E!$H$5:$M$385,5,0)))</f>
        <v/>
      </c>
      <c r="N185" s="22" t="str">
        <f>IF(ISNA(VLOOKUP(CONCATENATE(M$171,$K17),PDP8E!$H$5:$M$385,6,0)),"",IF(LEN(VLOOKUP(CONCATENATE(M$171,$K17),PDP8E!$H$5:$M$385,6,0))&lt;1,"",VLOOKUP(CONCATENATE(M$171,$K17),PDP8E!$H$5:$M$385,6,0)))</f>
        <v/>
      </c>
      <c r="O185" s="26" t="str">
        <f t="shared" si="6"/>
        <v/>
      </c>
      <c r="P185" s="8"/>
    </row>
    <row r="186" spans="10:16" x14ac:dyDescent="0.2">
      <c r="J186" s="8"/>
      <c r="K186" s="24">
        <v>13</v>
      </c>
      <c r="L186" s="20" t="str">
        <f>IF(ISNA(VLOOKUP(CONCATENATE(M$171,$K18),PDP8E!$H$5:$M$385,2,0)),"",VLOOKUP(CONCATENATE(M$171,$K18),PDP8E!$H$5:$M$385,2,0))</f>
        <v/>
      </c>
      <c r="M186" s="21" t="str">
        <f>IF(ISNA(VLOOKUP(CONCATENATE(M$171,$K18),PDP8E!$H$5:$M$385,5,0)),"",IF(LEN(VLOOKUP(CONCATENATE(M$171,$K18),PDP8E!$H$5:$M$385,5,0))&lt;1,"",VLOOKUP(CONCATENATE(M$171,$K18),PDP8E!$H$5:$M$385,5,0)))</f>
        <v/>
      </c>
      <c r="N186" s="22" t="str">
        <f>IF(ISNA(VLOOKUP(CONCATENATE(M$171,$K18),PDP8E!$H$5:$M$385,6,0)),"",IF(LEN(VLOOKUP(CONCATENATE(M$171,$K18),PDP8E!$H$5:$M$385,6,0))&lt;1,"",VLOOKUP(CONCATENATE(M$171,$K18),PDP8E!$H$5:$M$385,6,0)))</f>
        <v/>
      </c>
      <c r="O186" s="26" t="str">
        <f t="shared" si="6"/>
        <v/>
      </c>
      <c r="P186" s="8"/>
    </row>
    <row r="187" spans="10:16" x14ac:dyDescent="0.2">
      <c r="J187" s="8"/>
      <c r="K187" s="24">
        <v>14</v>
      </c>
      <c r="L187" s="20" t="str">
        <f>IF(ISNA(VLOOKUP(CONCATENATE(M$171,$K19),PDP8E!$H$5:$M$385,2,0)),"",VLOOKUP(CONCATENATE(M$171,$K19),PDP8E!$H$5:$M$385,2,0))</f>
        <v/>
      </c>
      <c r="M187" s="21" t="str">
        <f>IF(ISNA(VLOOKUP(CONCATENATE(M$171,$K19),PDP8E!$H$5:$M$385,5,0)),"",IF(LEN(VLOOKUP(CONCATENATE(M$171,$K19),PDP8E!$H$5:$M$385,5,0))&lt;1,"",VLOOKUP(CONCATENATE(M$171,$K19),PDP8E!$H$5:$M$385,5,0)))</f>
        <v/>
      </c>
      <c r="N187" s="22" t="str">
        <f>IF(ISNA(VLOOKUP(CONCATENATE(M$171,$K19),PDP8E!$H$5:$M$385,6,0)),"",IF(LEN(VLOOKUP(CONCATENATE(M$171,$K19),PDP8E!$H$5:$M$385,6,0))&lt;1,"",VLOOKUP(CONCATENATE(M$171,$K19),PDP8E!$H$5:$M$385,6,0)))</f>
        <v/>
      </c>
      <c r="O187" s="26" t="str">
        <f t="shared" si="6"/>
        <v/>
      </c>
      <c r="P187" s="8"/>
    </row>
    <row r="188" spans="10:16" x14ac:dyDescent="0.2">
      <c r="J188" s="8"/>
      <c r="K188" s="24">
        <v>15</v>
      </c>
      <c r="L188" s="20" t="str">
        <f>IF(ISNA(VLOOKUP(CONCATENATE(M$171,$K20),PDP8E!$H$5:$M$385,2,0)),"",VLOOKUP(CONCATENATE(M$171,$K20),PDP8E!$H$5:$M$385,2,0))</f>
        <v/>
      </c>
      <c r="M188" s="21" t="str">
        <f>IF(ISNA(VLOOKUP(CONCATENATE(M$171,$K20),PDP8E!$H$5:$M$385,5,0)),"",IF(LEN(VLOOKUP(CONCATENATE(M$171,$K20),PDP8E!$H$5:$M$385,5,0))&lt;1,"",VLOOKUP(CONCATENATE(M$171,$K20),PDP8E!$H$5:$M$385,5,0)))</f>
        <v/>
      </c>
      <c r="N188" s="22" t="str">
        <f>IF(ISNA(VLOOKUP(CONCATENATE(M$171,$K20),PDP8E!$H$5:$M$385,6,0)),"",IF(LEN(VLOOKUP(CONCATENATE(M$171,$K20),PDP8E!$H$5:$M$385,6,0))&lt;1,"",VLOOKUP(CONCATENATE(M$171,$K20),PDP8E!$H$5:$M$385,6,0)))</f>
        <v/>
      </c>
      <c r="O188" s="26" t="str">
        <f t="shared" si="6"/>
        <v/>
      </c>
      <c r="P188" s="8"/>
    </row>
    <row r="189" spans="10:16" x14ac:dyDescent="0.2">
      <c r="J189" s="8"/>
      <c r="K189" s="24">
        <v>16</v>
      </c>
      <c r="L189" s="20" t="str">
        <f>IF(ISNA(VLOOKUP(CONCATENATE(M$171,$K21),PDP8E!$H$5:$M$385,2,0)),"",VLOOKUP(CONCATENATE(M$171,$K21),PDP8E!$H$5:$M$385,2,0))</f>
        <v/>
      </c>
      <c r="M189" s="21" t="str">
        <f>IF(ISNA(VLOOKUP(CONCATENATE(M$171,$K21),PDP8E!$H$5:$M$385,5,0)),"",IF(LEN(VLOOKUP(CONCATENATE(M$171,$K21),PDP8E!$H$5:$M$385,5,0))&lt;1,"",VLOOKUP(CONCATENATE(M$171,$K21),PDP8E!$H$5:$M$385,5,0)))</f>
        <v/>
      </c>
      <c r="N189" s="22" t="str">
        <f>IF(ISNA(VLOOKUP(CONCATENATE(M$171,$K21),PDP8E!$H$5:$M$385,6,0)),"",IF(LEN(VLOOKUP(CONCATENATE(M$171,$K21),PDP8E!$H$5:$M$385,6,0))&lt;1,"",VLOOKUP(CONCATENATE(M$171,$K21),PDP8E!$H$5:$M$385,6,0)))</f>
        <v/>
      </c>
      <c r="O189" s="26" t="str">
        <f t="shared" si="6"/>
        <v/>
      </c>
      <c r="P189" s="8"/>
    </row>
    <row r="190" spans="10:16" x14ac:dyDescent="0.2">
      <c r="J190" s="8"/>
      <c r="K190" s="24">
        <v>17</v>
      </c>
      <c r="L190" s="20" t="str">
        <f>IF(ISNA(VLOOKUP(CONCATENATE(M$171,$K22),PDP8E!$H$5:$M$385,2,0)),"",VLOOKUP(CONCATENATE(M$171,$K22),PDP8E!$H$5:$M$385,2,0))</f>
        <v/>
      </c>
      <c r="M190" s="21" t="str">
        <f>IF(ISNA(VLOOKUP(CONCATENATE(M$171,$K22),PDP8E!$H$5:$M$385,5,0)),"",IF(LEN(VLOOKUP(CONCATENATE(M$171,$K22),PDP8E!$H$5:$M$385,5,0))&lt;1,"",VLOOKUP(CONCATENATE(M$171,$K22),PDP8E!$H$5:$M$385,5,0)))</f>
        <v/>
      </c>
      <c r="N190" s="22" t="str">
        <f>IF(ISNA(VLOOKUP(CONCATENATE(M$171,$K22),PDP8E!$H$5:$M$385,6,0)),"",IF(LEN(VLOOKUP(CONCATENATE(M$171,$K22),PDP8E!$H$5:$M$385,6,0))&lt;1,"",VLOOKUP(CONCATENATE(M$171,$K22),PDP8E!$H$5:$M$385,6,0)))</f>
        <v/>
      </c>
      <c r="O190" s="26" t="str">
        <f t="shared" si="6"/>
        <v/>
      </c>
      <c r="P190" s="8"/>
    </row>
    <row r="191" spans="10:16" x14ac:dyDescent="0.2">
      <c r="J191" s="8"/>
      <c r="K191" s="24">
        <v>18</v>
      </c>
      <c r="L191" s="20" t="str">
        <f>IF(ISNA(VLOOKUP(CONCATENATE(M$171,$K23),PDP8E!$H$5:$M$385,2,0)),"",VLOOKUP(CONCATENATE(M$171,$K23),PDP8E!$H$5:$M$385,2,0))</f>
        <v/>
      </c>
      <c r="M191" s="21" t="str">
        <f>IF(ISNA(VLOOKUP(CONCATENATE(M$171,$K23),PDP8E!$H$5:$M$385,5,0)),"",IF(LEN(VLOOKUP(CONCATENATE(M$171,$K23),PDP8E!$H$5:$M$385,5,0))&lt;1,"",VLOOKUP(CONCATENATE(M$171,$K23),PDP8E!$H$5:$M$385,5,0)))</f>
        <v/>
      </c>
      <c r="N191" s="22" t="str">
        <f>IF(ISNA(VLOOKUP(CONCATENATE(M$171,$K23),PDP8E!$H$5:$M$385,6,0)),"",IF(LEN(VLOOKUP(CONCATENATE(M$171,$K23),PDP8E!$H$5:$M$385,6,0))&lt;1,"",VLOOKUP(CONCATENATE(M$171,$K23),PDP8E!$H$5:$M$385,6,0)))</f>
        <v/>
      </c>
      <c r="O191" s="26" t="str">
        <f t="shared" si="6"/>
        <v/>
      </c>
      <c r="P191" s="8"/>
    </row>
    <row r="192" spans="10:16" x14ac:dyDescent="0.2">
      <c r="J192" s="8"/>
      <c r="K192" s="24">
        <v>19</v>
      </c>
      <c r="L192" s="20" t="str">
        <f>IF(ISNA(VLOOKUP(CONCATENATE(M$171,$K24),PDP8E!$H$5:$M$385,2,0)),"",VLOOKUP(CONCATENATE(M$171,$K24),PDP8E!$H$5:$M$385,2,0))</f>
        <v/>
      </c>
      <c r="M192" s="21" t="str">
        <f>IF(ISNA(VLOOKUP(CONCATENATE(M$171,$K24),PDP8E!$H$5:$M$385,5,0)),"",IF(LEN(VLOOKUP(CONCATENATE(M$171,$K24),PDP8E!$H$5:$M$385,5,0))&lt;1,"",VLOOKUP(CONCATENATE(M$171,$K24),PDP8E!$H$5:$M$385,5,0)))</f>
        <v/>
      </c>
      <c r="N192" s="22" t="str">
        <f>IF(ISNA(VLOOKUP(CONCATENATE(M$171,$K24),PDP8E!$H$5:$M$385,6,0)),"",IF(LEN(VLOOKUP(CONCATENATE(M$171,$K24),PDP8E!$H$5:$M$385,6,0))&lt;1,"",VLOOKUP(CONCATENATE(M$171,$K24),PDP8E!$H$5:$M$385,6,0)))</f>
        <v/>
      </c>
      <c r="O192" s="26" t="str">
        <f t="shared" si="6"/>
        <v/>
      </c>
      <c r="P192" s="8"/>
    </row>
    <row r="193" spans="10:16" x14ac:dyDescent="0.2">
      <c r="J193" s="8"/>
      <c r="K193" s="24">
        <v>20</v>
      </c>
      <c r="L193" s="20" t="str">
        <f>IF(ISNA(VLOOKUP(CONCATENATE(M$171,$K25),PDP8E!$H$5:$M$385,2,0)),"",VLOOKUP(CONCATENATE(M$171,$K25),PDP8E!$H$5:$M$385,2,0))</f>
        <v/>
      </c>
      <c r="M193" s="21" t="str">
        <f>IF(ISNA(VLOOKUP(CONCATENATE(M$171,$K25),PDP8E!$H$5:$M$385,5,0)),"",IF(LEN(VLOOKUP(CONCATENATE(M$171,$K25),PDP8E!$H$5:$M$385,5,0))&lt;1,"",VLOOKUP(CONCATENATE(M$171,$K25),PDP8E!$H$5:$M$385,5,0)))</f>
        <v/>
      </c>
      <c r="N193" s="22" t="str">
        <f>IF(ISNA(VLOOKUP(CONCATENATE(M$171,$K25),PDP8E!$H$5:$M$385,6,0)),"",IF(LEN(VLOOKUP(CONCATENATE(M$171,$K25),PDP8E!$H$5:$M$385,6,0))&lt;1,"",VLOOKUP(CONCATENATE(M$171,$K25),PDP8E!$H$5:$M$385,6,0)))</f>
        <v/>
      </c>
      <c r="O193" s="26" t="str">
        <f t="shared" si="6"/>
        <v/>
      </c>
      <c r="P193" s="8"/>
    </row>
    <row r="194" spans="10:16" x14ac:dyDescent="0.2">
      <c r="J194" s="8"/>
      <c r="K194" s="24">
        <v>21</v>
      </c>
      <c r="L194" s="20" t="str">
        <f>IF(ISNA(VLOOKUP(CONCATENATE(M$171,$K26),PDP8E!$H$5:$M$385,2,0)),"",VLOOKUP(CONCATENATE(M$171,$K26),PDP8E!$H$5:$M$385,2,0))</f>
        <v/>
      </c>
      <c r="M194" s="21" t="str">
        <f>IF(ISNA(VLOOKUP(CONCATENATE(M$171,$K26),PDP8E!$H$5:$M$385,5,0)),"",IF(LEN(VLOOKUP(CONCATENATE(M$171,$K26),PDP8E!$H$5:$M$385,5,0))&lt;1,"",VLOOKUP(CONCATENATE(M$171,$K26),PDP8E!$H$5:$M$385,5,0)))</f>
        <v/>
      </c>
      <c r="N194" s="22" t="str">
        <f>IF(ISNA(VLOOKUP(CONCATENATE(M$171,$K26),PDP8E!$H$5:$M$385,6,0)),"",IF(LEN(VLOOKUP(CONCATENATE(M$171,$K26),PDP8E!$H$5:$M$385,6,0))&lt;1,"",VLOOKUP(CONCATENATE(M$171,$K26),PDP8E!$H$5:$M$385,6,0)))</f>
        <v/>
      </c>
      <c r="O194" s="26" t="str">
        <f t="shared" si="6"/>
        <v/>
      </c>
      <c r="P194" s="8"/>
    </row>
    <row r="195" spans="10:16" x14ac:dyDescent="0.2">
      <c r="J195" s="8"/>
      <c r="K195" s="24">
        <v>22</v>
      </c>
      <c r="L195" s="20" t="str">
        <f>IF(ISNA(VLOOKUP(CONCATENATE(M$171,$K27),PDP8E!$H$5:$M$385,2,0)),"",VLOOKUP(CONCATENATE(M$171,$K27),PDP8E!$H$5:$M$385,2,0))</f>
        <v/>
      </c>
      <c r="M195" s="21" t="str">
        <f>IF(ISNA(VLOOKUP(CONCATENATE(M$171,$K27),PDP8E!$H$5:$M$385,5,0)),"",IF(LEN(VLOOKUP(CONCATENATE(M$171,$K27),PDP8E!$H$5:$M$385,5,0))&lt;1,"",VLOOKUP(CONCATENATE(M$171,$K27),PDP8E!$H$5:$M$385,5,0)))</f>
        <v/>
      </c>
      <c r="N195" s="22" t="str">
        <f>IF(ISNA(VLOOKUP(CONCATENATE(M$171,$K27),PDP8E!$H$5:$M$385,6,0)),"",IF(LEN(VLOOKUP(CONCATENATE(M$171,$K27),PDP8E!$H$5:$M$385,6,0))&lt;1,"",VLOOKUP(CONCATENATE(M$171,$K27),PDP8E!$H$5:$M$385,6,0)))</f>
        <v/>
      </c>
      <c r="O195" s="26" t="str">
        <f t="shared" si="6"/>
        <v/>
      </c>
      <c r="P195" s="8"/>
    </row>
    <row r="196" spans="10:16" x14ac:dyDescent="0.2">
      <c r="J196" s="8"/>
      <c r="K196" s="24">
        <v>23</v>
      </c>
      <c r="L196" s="20" t="str">
        <f>IF(ISNA(VLOOKUP(CONCATENATE(M$171,$K28),PDP8E!$H$5:$M$385,2,0)),"",VLOOKUP(CONCATENATE(M$171,$K28),PDP8E!$H$5:$M$385,2,0))</f>
        <v/>
      </c>
      <c r="M196" s="21" t="str">
        <f>IF(ISNA(VLOOKUP(CONCATENATE(M$171,$K28),PDP8E!$H$5:$M$385,5,0)),"",IF(LEN(VLOOKUP(CONCATENATE(M$171,$K28),PDP8E!$H$5:$M$385,5,0))&lt;1,"",VLOOKUP(CONCATENATE(M$171,$K28),PDP8E!$H$5:$M$385,5,0)))</f>
        <v/>
      </c>
      <c r="N196" s="22" t="str">
        <f>IF(ISNA(VLOOKUP(CONCATENATE(M$171,$K28),PDP8E!$H$5:$M$385,6,0)),"",IF(LEN(VLOOKUP(CONCATENATE(M$171,$K28),PDP8E!$H$5:$M$385,6,0))&lt;1,"",VLOOKUP(CONCATENATE(M$171,$K28),PDP8E!$H$5:$M$385,6,0)))</f>
        <v/>
      </c>
      <c r="O196" s="26" t="str">
        <f t="shared" si="6"/>
        <v/>
      </c>
      <c r="P196" s="8"/>
    </row>
    <row r="197" spans="10:16" ht="17" thickBot="1" x14ac:dyDescent="0.25">
      <c r="J197" s="8"/>
      <c r="K197" s="27">
        <v>24</v>
      </c>
      <c r="L197" s="28" t="str">
        <f>IF(ISNA(VLOOKUP(CONCATENATE(M$171,$K29),PDP8E!$H$5:$M$385,2,0)),"",VLOOKUP(CONCATENATE(M$171,$K29),PDP8E!$H$5:$M$385,2,0))</f>
        <v/>
      </c>
      <c r="M197" s="29" t="str">
        <f>IF(ISNA(VLOOKUP(CONCATENATE(M$171,$K29),PDP8E!$H$5:$M$385,5,0)),"",IF(LEN(VLOOKUP(CONCATENATE(M$171,$K29),PDP8E!$H$5:$M$385,5,0))&lt;1,"",VLOOKUP(CONCATENATE(M$171,$K29),PDP8E!$H$5:$M$385,5,0)))</f>
        <v/>
      </c>
      <c r="N197" s="30" t="str">
        <f>IF(ISNA(VLOOKUP(CONCATENATE(M$171,$K29),PDP8E!$H$5:$M$385,6,0)),"",IF(LEN(VLOOKUP(CONCATENATE(M$171,$K29),PDP8E!$H$5:$M$385,6,0))&lt;1,"",VLOOKUP(CONCATENATE(M$171,$K29),PDP8E!$H$5:$M$385,6,0)))</f>
        <v/>
      </c>
      <c r="O197" s="31" t="str">
        <f t="shared" si="6"/>
        <v/>
      </c>
      <c r="P197" s="8"/>
    </row>
    <row r="198" spans="10:16" ht="17" thickBot="1" x14ac:dyDescent="0.25">
      <c r="J198" s="8"/>
      <c r="K198" s="8"/>
      <c r="L198" s="9"/>
      <c r="M198" s="8"/>
      <c r="N198" s="10"/>
      <c r="O198" s="8"/>
      <c r="P198" s="8"/>
    </row>
    <row r="199" spans="10:16" ht="17" thickBot="1" x14ac:dyDescent="0.25">
      <c r="J199" s="8"/>
      <c r="K199" s="8"/>
      <c r="L199" s="11" t="s">
        <v>750</v>
      </c>
      <c r="M199" s="12">
        <f>$C$10</f>
        <v>0</v>
      </c>
      <c r="N199" s="13" t="str">
        <f>$D$10</f>
        <v/>
      </c>
      <c r="O199" s="8"/>
      <c r="P199" s="8"/>
    </row>
    <row r="200" spans="10:16" ht="17" thickBot="1" x14ac:dyDescent="0.25">
      <c r="J200" s="8"/>
      <c r="K200" s="8"/>
      <c r="L200" s="9"/>
      <c r="M200" s="9"/>
      <c r="N200" s="9"/>
      <c r="O200" s="8"/>
      <c r="P200" s="8"/>
    </row>
    <row r="201" spans="10:16" ht="17" thickBot="1" x14ac:dyDescent="0.25">
      <c r="J201" s="8"/>
      <c r="K201" s="14"/>
      <c r="L201" s="15" t="s">
        <v>751</v>
      </c>
      <c r="M201" s="16" t="s">
        <v>752</v>
      </c>
      <c r="N201" s="17" t="s">
        <v>82</v>
      </c>
      <c r="O201" s="18"/>
      <c r="P201" s="8"/>
    </row>
    <row r="202" spans="10:16" x14ac:dyDescent="0.2">
      <c r="J202" s="8"/>
      <c r="K202" s="19">
        <v>1</v>
      </c>
      <c r="L202" s="20" t="str">
        <f>IF(ISNA(VLOOKUP(CONCATENATE(M$199,$K6),PDP8E!$H$5:$M$385,2,0)),"",VLOOKUP(CONCATENATE(M$199,$K6),PDP8E!$H$5:$M$385,2,0))</f>
        <v/>
      </c>
      <c r="M202" s="21" t="str">
        <f>IF(ISNA(VLOOKUP(CONCATENATE(M$199,$K6),PDP8E!$H$5:$M$385,5,0)),"",IF(LEN(VLOOKUP(CONCATENATE(M$199,$K6),PDP8E!$H$5:$M$385,5,0))&lt;1,"",VLOOKUP(CONCATENATE(M$199,$K6),PDP8E!$H$5:$M$385,5,0)))</f>
        <v/>
      </c>
      <c r="N202" s="22" t="str">
        <f>IF(ISNA(VLOOKUP(CONCATENATE(M$199,$K6),PDP8E!$H$5:$M$385,6,0)),"",IF(LEN(VLOOKUP(CONCATENATE(M$199,$K6),PDP8E!$H$5:$M$385,6,0))&lt;1,"",VLOOKUP(CONCATENATE(M$199,$K6),PDP8E!$H$5:$M$385,6,0)))</f>
        <v/>
      </c>
      <c r="O202" s="23" t="str">
        <f>IF(LEN(L202)&lt;1,"",$M$199)</f>
        <v/>
      </c>
      <c r="P202" s="8"/>
    </row>
    <row r="203" spans="10:16" x14ac:dyDescent="0.2">
      <c r="J203" s="8"/>
      <c r="K203" s="24">
        <v>2</v>
      </c>
      <c r="L203" s="20" t="str">
        <f>IF(ISNA(VLOOKUP(CONCATENATE(M$199,$K7),PDP8E!$H$5:$M$385,2,0)),"",VLOOKUP(CONCATENATE(M$199,$K7),PDP8E!$H$5:$M$385,2,0))</f>
        <v/>
      </c>
      <c r="M203" s="21" t="str">
        <f>IF(ISNA(VLOOKUP(CONCATENATE(M$199,$K7),PDP8E!$H$5:$M$385,5,0)),"",IF(LEN(VLOOKUP(CONCATENATE(M$199,$K7),PDP8E!$H$5:$M$385,5,0))&lt;1,"",VLOOKUP(CONCATENATE(M$199,$K7),PDP8E!$H$5:$M$385,5,0)))</f>
        <v/>
      </c>
      <c r="N203" s="22" t="str">
        <f>IF(ISNA(VLOOKUP(CONCATENATE(M$199,$K7),PDP8E!$H$5:$M$385,6,0)),"",IF(LEN(VLOOKUP(CONCATENATE(M$199,$K7),PDP8E!$H$5:$M$385,6,0))&lt;1,"",VLOOKUP(CONCATENATE(M$199,$K7),PDP8E!$H$5:$M$385,6,0)))</f>
        <v/>
      </c>
      <c r="O203" s="26" t="str">
        <f t="shared" ref="O203:O225" si="7">IF(LEN(L203)&lt;1,"",$M$199)</f>
        <v/>
      </c>
      <c r="P203" s="8"/>
    </row>
    <row r="204" spans="10:16" x14ac:dyDescent="0.2">
      <c r="J204" s="8"/>
      <c r="K204" s="24">
        <v>3</v>
      </c>
      <c r="L204" s="20" t="str">
        <f>IF(ISNA(VLOOKUP(CONCATENATE(M$199,$K8),PDP8E!$H$5:$M$385,2,0)),"",VLOOKUP(CONCATENATE(M$199,$K8),PDP8E!$H$5:$M$385,2,0))</f>
        <v/>
      </c>
      <c r="M204" s="21" t="str">
        <f>IF(ISNA(VLOOKUP(CONCATENATE(M$199,$K8),PDP8E!$H$5:$M$385,5,0)),"",IF(LEN(VLOOKUP(CONCATENATE(M$199,$K8),PDP8E!$H$5:$M$385,5,0))&lt;1,"",VLOOKUP(CONCATENATE(M$199,$K8),PDP8E!$H$5:$M$385,5,0)))</f>
        <v/>
      </c>
      <c r="N204" s="22" t="str">
        <f>IF(ISNA(VLOOKUP(CONCATENATE(M$199,$K8),PDP8E!$H$5:$M$385,6,0)),"",IF(LEN(VLOOKUP(CONCATENATE(M$199,$K8),PDP8E!$H$5:$M$385,6,0))&lt;1,"",VLOOKUP(CONCATENATE(M$199,$K8),PDP8E!$H$5:$M$385,6,0)))</f>
        <v/>
      </c>
      <c r="O204" s="26" t="str">
        <f t="shared" si="7"/>
        <v/>
      </c>
      <c r="P204" s="8"/>
    </row>
    <row r="205" spans="10:16" x14ac:dyDescent="0.2">
      <c r="J205" s="8"/>
      <c r="K205" s="24">
        <v>4</v>
      </c>
      <c r="L205" s="20" t="str">
        <f>IF(ISNA(VLOOKUP(CONCATENATE(M$199,$K9),PDP8E!$H$5:$M$385,2,0)),"",VLOOKUP(CONCATENATE(M$199,$K9),PDP8E!$H$5:$M$385,2,0))</f>
        <v/>
      </c>
      <c r="M205" s="21" t="str">
        <f>IF(ISNA(VLOOKUP(CONCATENATE(M$199,$K9),PDP8E!$H$5:$M$385,5,0)),"",IF(LEN(VLOOKUP(CONCATENATE(M$199,$K9),PDP8E!$H$5:$M$385,5,0))&lt;1,"",VLOOKUP(CONCATENATE(M$199,$K9),PDP8E!$H$5:$M$385,5,0)))</f>
        <v/>
      </c>
      <c r="N205" s="22" t="str">
        <f>IF(ISNA(VLOOKUP(CONCATENATE(M$199,$K9),PDP8E!$H$5:$M$385,6,0)),"",IF(LEN(VLOOKUP(CONCATENATE(M$199,$K9),PDP8E!$H$5:$M$385,6,0))&lt;1,"",VLOOKUP(CONCATENATE(M$199,$K9),PDP8E!$H$5:$M$385,6,0)))</f>
        <v/>
      </c>
      <c r="O205" s="26" t="str">
        <f t="shared" si="7"/>
        <v/>
      </c>
      <c r="P205" s="8"/>
    </row>
    <row r="206" spans="10:16" x14ac:dyDescent="0.2">
      <c r="J206" s="8"/>
      <c r="K206" s="24">
        <v>5</v>
      </c>
      <c r="L206" s="20" t="str">
        <f>IF(ISNA(VLOOKUP(CONCATENATE(M$199,$K10),PDP8E!$H$5:$M$385,2,0)),"",VLOOKUP(CONCATENATE(M$199,$K10),PDP8E!$H$5:$M$385,2,0))</f>
        <v/>
      </c>
      <c r="M206" s="21" t="str">
        <f>IF(ISNA(VLOOKUP(CONCATENATE(M$199,$K10),PDP8E!$H$5:$M$385,5,0)),"",IF(LEN(VLOOKUP(CONCATENATE(M$199,$K10),PDP8E!$H$5:$M$385,5,0))&lt;1,"",VLOOKUP(CONCATENATE(M$199,$K10),PDP8E!$H$5:$M$385,5,0)))</f>
        <v/>
      </c>
      <c r="N206" s="22" t="str">
        <f>IF(ISNA(VLOOKUP(CONCATENATE(M$199,$K10),PDP8E!$H$5:$M$385,6,0)),"",IF(LEN(VLOOKUP(CONCATENATE(M$199,$K10),PDP8E!$H$5:$M$385,6,0))&lt;1,"",VLOOKUP(CONCATENATE(M$199,$K10),PDP8E!$H$5:$M$385,6,0)))</f>
        <v/>
      </c>
      <c r="O206" s="26" t="str">
        <f t="shared" si="7"/>
        <v/>
      </c>
      <c r="P206" s="8"/>
    </row>
    <row r="207" spans="10:16" x14ac:dyDescent="0.2">
      <c r="J207" s="8"/>
      <c r="K207" s="24">
        <v>6</v>
      </c>
      <c r="L207" s="20" t="str">
        <f>IF(ISNA(VLOOKUP(CONCATENATE(M$199,$K11),PDP8E!$H$5:$M$385,2,0)),"",VLOOKUP(CONCATENATE(M$199,$K11),PDP8E!$H$5:$M$385,2,0))</f>
        <v/>
      </c>
      <c r="M207" s="21" t="str">
        <f>IF(ISNA(VLOOKUP(CONCATENATE(M$199,$K11),PDP8E!$H$5:$M$385,5,0)),"",IF(LEN(VLOOKUP(CONCATENATE(M$199,$K11),PDP8E!$H$5:$M$385,5,0))&lt;1,"",VLOOKUP(CONCATENATE(M$199,$K11),PDP8E!$H$5:$M$385,5,0)))</f>
        <v/>
      </c>
      <c r="N207" s="22" t="str">
        <f>IF(ISNA(VLOOKUP(CONCATENATE(M$199,$K11),PDP8E!$H$5:$M$385,6,0)),"",IF(LEN(VLOOKUP(CONCATENATE(M$199,$K11),PDP8E!$H$5:$M$385,6,0))&lt;1,"",VLOOKUP(CONCATENATE(M$199,$K11),PDP8E!$H$5:$M$385,6,0)))</f>
        <v/>
      </c>
      <c r="O207" s="26" t="str">
        <f t="shared" si="7"/>
        <v/>
      </c>
      <c r="P207" s="8"/>
    </row>
    <row r="208" spans="10:16" x14ac:dyDescent="0.2">
      <c r="J208" s="8"/>
      <c r="K208" s="24">
        <v>7</v>
      </c>
      <c r="L208" s="20" t="str">
        <f>IF(ISNA(VLOOKUP(CONCATENATE(M$199,$K12),PDP8E!$H$5:$M$385,2,0)),"",VLOOKUP(CONCATENATE(M$199,$K12),PDP8E!$H$5:$M$385,2,0))</f>
        <v/>
      </c>
      <c r="M208" s="21" t="str">
        <f>IF(ISNA(VLOOKUP(CONCATENATE(M$199,$K12),PDP8E!$H$5:$M$385,5,0)),"",IF(LEN(VLOOKUP(CONCATENATE(M$199,$K12),PDP8E!$H$5:$M$385,5,0))&lt;1,"",VLOOKUP(CONCATENATE(M$199,$K12),PDP8E!$H$5:$M$385,5,0)))</f>
        <v/>
      </c>
      <c r="N208" s="22" t="str">
        <f>IF(ISNA(VLOOKUP(CONCATENATE(M$199,$K12),PDP8E!$H$5:$M$385,6,0)),"",IF(LEN(VLOOKUP(CONCATENATE(M$199,$K12),PDP8E!$H$5:$M$385,6,0))&lt;1,"",VLOOKUP(CONCATENATE(M$199,$K12),PDP8E!$H$5:$M$385,6,0)))</f>
        <v/>
      </c>
      <c r="O208" s="26" t="str">
        <f t="shared" si="7"/>
        <v/>
      </c>
      <c r="P208" s="8"/>
    </row>
    <row r="209" spans="10:16" x14ac:dyDescent="0.2">
      <c r="J209" s="8"/>
      <c r="K209" s="24">
        <v>8</v>
      </c>
      <c r="L209" s="20" t="str">
        <f>IF(ISNA(VLOOKUP(CONCATENATE(M$199,$K13),PDP8E!$H$5:$M$385,2,0)),"",VLOOKUP(CONCATENATE(M$199,$K13),PDP8E!$H$5:$M$385,2,0))</f>
        <v/>
      </c>
      <c r="M209" s="21" t="str">
        <f>IF(ISNA(VLOOKUP(CONCATENATE(M$199,$K13),PDP8E!$H$5:$M$385,5,0)),"",IF(LEN(VLOOKUP(CONCATENATE(M$199,$K13),PDP8E!$H$5:$M$385,5,0))&lt;1,"",VLOOKUP(CONCATENATE(M$199,$K13),PDP8E!$H$5:$M$385,5,0)))</f>
        <v/>
      </c>
      <c r="N209" s="22" t="str">
        <f>IF(ISNA(VLOOKUP(CONCATENATE(M$199,$K13),PDP8E!$H$5:$M$385,6,0)),"",IF(LEN(VLOOKUP(CONCATENATE(M$199,$K13),PDP8E!$H$5:$M$385,6,0))&lt;1,"",VLOOKUP(CONCATENATE(M$199,$K13),PDP8E!$H$5:$M$385,6,0)))</f>
        <v/>
      </c>
      <c r="O209" s="26" t="str">
        <f t="shared" si="7"/>
        <v/>
      </c>
      <c r="P209" s="8"/>
    </row>
    <row r="210" spans="10:16" x14ac:dyDescent="0.2">
      <c r="J210" s="8"/>
      <c r="K210" s="24">
        <v>9</v>
      </c>
      <c r="L210" s="20" t="str">
        <f>IF(ISNA(VLOOKUP(CONCATENATE(M$199,$K14),PDP8E!$H$5:$M$385,2,0)),"",VLOOKUP(CONCATENATE(M$199,$K14),PDP8E!$H$5:$M$385,2,0))</f>
        <v/>
      </c>
      <c r="M210" s="21" t="str">
        <f>IF(ISNA(VLOOKUP(CONCATENATE(M$199,$K14),PDP8E!$H$5:$M$385,5,0)),"",IF(LEN(VLOOKUP(CONCATENATE(M$199,$K14),PDP8E!$H$5:$M$385,5,0))&lt;1,"",VLOOKUP(CONCATENATE(M$199,$K14),PDP8E!$H$5:$M$385,5,0)))</f>
        <v/>
      </c>
      <c r="N210" s="22" t="str">
        <f>IF(ISNA(VLOOKUP(CONCATENATE(M$199,$K14),PDP8E!$H$5:$M$385,6,0)),"",IF(LEN(VLOOKUP(CONCATENATE(M$199,$K14),PDP8E!$H$5:$M$385,6,0))&lt;1,"",VLOOKUP(CONCATENATE(M$199,$K14),PDP8E!$H$5:$M$385,6,0)))</f>
        <v/>
      </c>
      <c r="O210" s="26" t="str">
        <f t="shared" si="7"/>
        <v/>
      </c>
      <c r="P210" s="8"/>
    </row>
    <row r="211" spans="10:16" x14ac:dyDescent="0.2">
      <c r="J211" s="8"/>
      <c r="K211" s="24">
        <v>10</v>
      </c>
      <c r="L211" s="20" t="str">
        <f>IF(ISNA(VLOOKUP(CONCATENATE(M$199,$K15),PDP8E!$H$5:$M$385,2,0)),"",VLOOKUP(CONCATENATE(M$199,$K15),PDP8E!$H$5:$M$385,2,0))</f>
        <v/>
      </c>
      <c r="M211" s="21" t="str">
        <f>IF(ISNA(VLOOKUP(CONCATENATE(M$199,$K15),PDP8E!$H$5:$M$385,5,0)),"",IF(LEN(VLOOKUP(CONCATENATE(M$199,$K15),PDP8E!$H$5:$M$385,5,0))&lt;1,"",VLOOKUP(CONCATENATE(M$199,$K15),PDP8E!$H$5:$M$385,5,0)))</f>
        <v/>
      </c>
      <c r="N211" s="22" t="str">
        <f>IF(ISNA(VLOOKUP(CONCATENATE(M$199,$K15),PDP8E!$H$5:$M$385,6,0)),"",IF(LEN(VLOOKUP(CONCATENATE(M$199,$K15),PDP8E!$H$5:$M$385,6,0))&lt;1,"",VLOOKUP(CONCATENATE(M$199,$K15),PDP8E!$H$5:$M$385,6,0)))</f>
        <v/>
      </c>
      <c r="O211" s="26" t="str">
        <f t="shared" si="7"/>
        <v/>
      </c>
      <c r="P211" s="8"/>
    </row>
    <row r="212" spans="10:16" x14ac:dyDescent="0.2">
      <c r="J212" s="8"/>
      <c r="K212" s="24">
        <v>11</v>
      </c>
      <c r="L212" s="20" t="str">
        <f>IF(ISNA(VLOOKUP(CONCATENATE(M$199,$K16),PDP8E!$H$5:$M$385,2,0)),"",VLOOKUP(CONCATENATE(M$199,$K16),PDP8E!$H$5:$M$385,2,0))</f>
        <v/>
      </c>
      <c r="M212" s="21" t="str">
        <f>IF(ISNA(VLOOKUP(CONCATENATE(M$199,$K16),PDP8E!$H$5:$M$385,5,0)),"",IF(LEN(VLOOKUP(CONCATENATE(M$199,$K16),PDP8E!$H$5:$M$385,5,0))&lt;1,"",VLOOKUP(CONCATENATE(M$199,$K16),PDP8E!$H$5:$M$385,5,0)))</f>
        <v/>
      </c>
      <c r="N212" s="22" t="str">
        <f>IF(ISNA(VLOOKUP(CONCATENATE(M$199,$K16),PDP8E!$H$5:$M$385,6,0)),"",IF(LEN(VLOOKUP(CONCATENATE(M$199,$K16),PDP8E!$H$5:$M$385,6,0))&lt;1,"",VLOOKUP(CONCATENATE(M$199,$K16),PDP8E!$H$5:$M$385,6,0)))</f>
        <v/>
      </c>
      <c r="O212" s="26" t="str">
        <f t="shared" si="7"/>
        <v/>
      </c>
      <c r="P212" s="8"/>
    </row>
    <row r="213" spans="10:16" x14ac:dyDescent="0.2">
      <c r="J213" s="8"/>
      <c r="K213" s="24">
        <v>12</v>
      </c>
      <c r="L213" s="20" t="str">
        <f>IF(ISNA(VLOOKUP(CONCATENATE(M$199,$K17),PDP8E!$H$5:$M$385,2,0)),"",VLOOKUP(CONCATENATE(M$199,$K17),PDP8E!$H$5:$M$385,2,0))</f>
        <v/>
      </c>
      <c r="M213" s="21" t="str">
        <f>IF(ISNA(VLOOKUP(CONCATENATE(M$199,$K17),PDP8E!$H$5:$M$385,5,0)),"",IF(LEN(VLOOKUP(CONCATENATE(M$199,$K17),PDP8E!$H$5:$M$385,5,0))&lt;1,"",VLOOKUP(CONCATENATE(M$199,$K17),PDP8E!$H$5:$M$385,5,0)))</f>
        <v/>
      </c>
      <c r="N213" s="22" t="str">
        <f>IF(ISNA(VLOOKUP(CONCATENATE(M$199,$K17),PDP8E!$H$5:$M$385,6,0)),"",IF(LEN(VLOOKUP(CONCATENATE(M$199,$K17),PDP8E!$H$5:$M$385,6,0))&lt;1,"",VLOOKUP(CONCATENATE(M$199,$K17),PDP8E!$H$5:$M$385,6,0)))</f>
        <v/>
      </c>
      <c r="O213" s="26" t="str">
        <f t="shared" si="7"/>
        <v/>
      </c>
      <c r="P213" s="8"/>
    </row>
    <row r="214" spans="10:16" x14ac:dyDescent="0.2">
      <c r="J214" s="8"/>
      <c r="K214" s="24">
        <v>13</v>
      </c>
      <c r="L214" s="20" t="str">
        <f>IF(ISNA(VLOOKUP(CONCATENATE(M$199,$K18),PDP8E!$H$5:$M$385,2,0)),"",VLOOKUP(CONCATENATE(M$199,$K18),PDP8E!$H$5:$M$385,2,0))</f>
        <v/>
      </c>
      <c r="M214" s="21" t="str">
        <f>IF(ISNA(VLOOKUP(CONCATENATE(M$199,$K18),PDP8E!$H$5:$M$385,5,0)),"",IF(LEN(VLOOKUP(CONCATENATE(M$199,$K18),PDP8E!$H$5:$M$385,5,0))&lt;1,"",VLOOKUP(CONCATENATE(M$199,$K18),PDP8E!$H$5:$M$385,5,0)))</f>
        <v/>
      </c>
      <c r="N214" s="22" t="str">
        <f>IF(ISNA(VLOOKUP(CONCATENATE(M$199,$K18),PDP8E!$H$5:$M$385,6,0)),"",IF(LEN(VLOOKUP(CONCATENATE(M$199,$K18),PDP8E!$H$5:$M$385,6,0))&lt;1,"",VLOOKUP(CONCATENATE(M$199,$K18),PDP8E!$H$5:$M$385,6,0)))</f>
        <v/>
      </c>
      <c r="O214" s="26" t="str">
        <f t="shared" si="7"/>
        <v/>
      </c>
      <c r="P214" s="8"/>
    </row>
    <row r="215" spans="10:16" x14ac:dyDescent="0.2">
      <c r="J215" s="8"/>
      <c r="K215" s="24">
        <v>14</v>
      </c>
      <c r="L215" s="20" t="str">
        <f>IF(ISNA(VLOOKUP(CONCATENATE(M$199,$K19),PDP8E!$H$5:$M$385,2,0)),"",VLOOKUP(CONCATENATE(M$199,$K19),PDP8E!$H$5:$M$385,2,0))</f>
        <v/>
      </c>
      <c r="M215" s="21" t="str">
        <f>IF(ISNA(VLOOKUP(CONCATENATE(M$199,$K19),PDP8E!$H$5:$M$385,5,0)),"",IF(LEN(VLOOKUP(CONCATENATE(M$199,$K19),PDP8E!$H$5:$M$385,5,0))&lt;1,"",VLOOKUP(CONCATENATE(M$199,$K19),PDP8E!$H$5:$M$385,5,0)))</f>
        <v/>
      </c>
      <c r="N215" s="22" t="str">
        <f>IF(ISNA(VLOOKUP(CONCATENATE(M$199,$K19),PDP8E!$H$5:$M$385,6,0)),"",IF(LEN(VLOOKUP(CONCATENATE(M$199,$K19),PDP8E!$H$5:$M$385,6,0))&lt;1,"",VLOOKUP(CONCATENATE(M$199,$K19),PDP8E!$H$5:$M$385,6,0)))</f>
        <v/>
      </c>
      <c r="O215" s="26" t="str">
        <f t="shared" si="7"/>
        <v/>
      </c>
      <c r="P215" s="8"/>
    </row>
    <row r="216" spans="10:16" x14ac:dyDescent="0.2">
      <c r="J216" s="8"/>
      <c r="K216" s="24">
        <v>15</v>
      </c>
      <c r="L216" s="20" t="str">
        <f>IF(ISNA(VLOOKUP(CONCATENATE(M$199,$K20),PDP8E!$H$5:$M$385,2,0)),"",VLOOKUP(CONCATENATE(M$199,$K20),PDP8E!$H$5:$M$385,2,0))</f>
        <v/>
      </c>
      <c r="M216" s="21" t="str">
        <f>IF(ISNA(VLOOKUP(CONCATENATE(M$199,$K20),PDP8E!$H$5:$M$385,5,0)),"",IF(LEN(VLOOKUP(CONCATENATE(M$199,$K20),PDP8E!$H$5:$M$385,5,0))&lt;1,"",VLOOKUP(CONCATENATE(M$199,$K20),PDP8E!$H$5:$M$385,5,0)))</f>
        <v/>
      </c>
      <c r="N216" s="22" t="str">
        <f>IF(ISNA(VLOOKUP(CONCATENATE(M$199,$K20),PDP8E!$H$5:$M$385,6,0)),"",IF(LEN(VLOOKUP(CONCATENATE(M$199,$K20),PDP8E!$H$5:$M$385,6,0))&lt;1,"",VLOOKUP(CONCATENATE(M$199,$K20),PDP8E!$H$5:$M$385,6,0)))</f>
        <v/>
      </c>
      <c r="O216" s="26" t="str">
        <f t="shared" si="7"/>
        <v/>
      </c>
      <c r="P216" s="8"/>
    </row>
    <row r="217" spans="10:16" x14ac:dyDescent="0.2">
      <c r="J217" s="8"/>
      <c r="K217" s="24">
        <v>16</v>
      </c>
      <c r="L217" s="20" t="str">
        <f>IF(ISNA(VLOOKUP(CONCATENATE(M$199,$K21),PDP8E!$H$5:$M$385,2,0)),"",VLOOKUP(CONCATENATE(M$199,$K21),PDP8E!$H$5:$M$385,2,0))</f>
        <v/>
      </c>
      <c r="M217" s="21" t="str">
        <f>IF(ISNA(VLOOKUP(CONCATENATE(M$199,$K21),PDP8E!$H$5:$M$385,5,0)),"",IF(LEN(VLOOKUP(CONCATENATE(M$199,$K21),PDP8E!$H$5:$M$385,5,0))&lt;1,"",VLOOKUP(CONCATENATE(M$199,$K21),PDP8E!$H$5:$M$385,5,0)))</f>
        <v/>
      </c>
      <c r="N217" s="22" t="str">
        <f>IF(ISNA(VLOOKUP(CONCATENATE(M$199,$K21),PDP8E!$H$5:$M$385,6,0)),"",IF(LEN(VLOOKUP(CONCATENATE(M$199,$K21),PDP8E!$H$5:$M$385,6,0))&lt;1,"",VLOOKUP(CONCATENATE(M$199,$K21),PDP8E!$H$5:$M$385,6,0)))</f>
        <v/>
      </c>
      <c r="O217" s="26" t="str">
        <f t="shared" si="7"/>
        <v/>
      </c>
      <c r="P217" s="8"/>
    </row>
    <row r="218" spans="10:16" x14ac:dyDescent="0.2">
      <c r="J218" s="8"/>
      <c r="K218" s="24">
        <v>17</v>
      </c>
      <c r="L218" s="20" t="str">
        <f>IF(ISNA(VLOOKUP(CONCATENATE(M$199,$K22),PDP8E!$H$5:$M$385,2,0)),"",VLOOKUP(CONCATENATE(M$199,$K22),PDP8E!$H$5:$M$385,2,0))</f>
        <v/>
      </c>
      <c r="M218" s="21" t="str">
        <f>IF(ISNA(VLOOKUP(CONCATENATE(M$199,$K22),PDP8E!$H$5:$M$385,5,0)),"",IF(LEN(VLOOKUP(CONCATENATE(M$199,$K22),PDP8E!$H$5:$M$385,5,0))&lt;1,"",VLOOKUP(CONCATENATE(M$199,$K22),PDP8E!$H$5:$M$385,5,0)))</f>
        <v/>
      </c>
      <c r="N218" s="22" t="str">
        <f>IF(ISNA(VLOOKUP(CONCATENATE(M$199,$K22),PDP8E!$H$5:$M$385,6,0)),"",IF(LEN(VLOOKUP(CONCATENATE(M$199,$K22),PDP8E!$H$5:$M$385,6,0))&lt;1,"",VLOOKUP(CONCATENATE(M$199,$K22),PDP8E!$H$5:$M$385,6,0)))</f>
        <v/>
      </c>
      <c r="O218" s="26" t="str">
        <f t="shared" si="7"/>
        <v/>
      </c>
      <c r="P218" s="8"/>
    </row>
    <row r="219" spans="10:16" x14ac:dyDescent="0.2">
      <c r="J219" s="8"/>
      <c r="K219" s="24">
        <v>18</v>
      </c>
      <c r="L219" s="20" t="str">
        <f>IF(ISNA(VLOOKUP(CONCATENATE(M$199,$K23),PDP8E!$H$5:$M$385,2,0)),"",VLOOKUP(CONCATENATE(M$199,$K23),PDP8E!$H$5:$M$385,2,0))</f>
        <v/>
      </c>
      <c r="M219" s="21" t="str">
        <f>IF(ISNA(VLOOKUP(CONCATENATE(M$199,$K23),PDP8E!$H$5:$M$385,5,0)),"",IF(LEN(VLOOKUP(CONCATENATE(M$199,$K23),PDP8E!$H$5:$M$385,5,0))&lt;1,"",VLOOKUP(CONCATENATE(M$199,$K23),PDP8E!$H$5:$M$385,5,0)))</f>
        <v/>
      </c>
      <c r="N219" s="22" t="str">
        <f>IF(ISNA(VLOOKUP(CONCATENATE(M$199,$K23),PDP8E!$H$5:$M$385,6,0)),"",IF(LEN(VLOOKUP(CONCATENATE(M$199,$K23),PDP8E!$H$5:$M$385,6,0))&lt;1,"",VLOOKUP(CONCATENATE(M$199,$K23),PDP8E!$H$5:$M$385,6,0)))</f>
        <v/>
      </c>
      <c r="O219" s="26" t="str">
        <f t="shared" si="7"/>
        <v/>
      </c>
      <c r="P219" s="8"/>
    </row>
    <row r="220" spans="10:16" x14ac:dyDescent="0.2">
      <c r="J220" s="8"/>
      <c r="K220" s="24">
        <v>19</v>
      </c>
      <c r="L220" s="20" t="str">
        <f>IF(ISNA(VLOOKUP(CONCATENATE(M$199,$K24),PDP8E!$H$5:$M$385,2,0)),"",VLOOKUP(CONCATENATE(M$199,$K24),PDP8E!$H$5:$M$385,2,0))</f>
        <v/>
      </c>
      <c r="M220" s="21" t="str">
        <f>IF(ISNA(VLOOKUP(CONCATENATE(M$199,$K24),PDP8E!$H$5:$M$385,5,0)),"",IF(LEN(VLOOKUP(CONCATENATE(M$199,$K24),PDP8E!$H$5:$M$385,5,0))&lt;1,"",VLOOKUP(CONCATENATE(M$199,$K24),PDP8E!$H$5:$M$385,5,0)))</f>
        <v/>
      </c>
      <c r="N220" s="22" t="str">
        <f>IF(ISNA(VLOOKUP(CONCATENATE(M$199,$K24),PDP8E!$H$5:$M$385,6,0)),"",IF(LEN(VLOOKUP(CONCATENATE(M$199,$K24),PDP8E!$H$5:$M$385,6,0))&lt;1,"",VLOOKUP(CONCATENATE(M$199,$K24),PDP8E!$H$5:$M$385,6,0)))</f>
        <v/>
      </c>
      <c r="O220" s="26" t="str">
        <f t="shared" si="7"/>
        <v/>
      </c>
      <c r="P220" s="8"/>
    </row>
    <row r="221" spans="10:16" x14ac:dyDescent="0.2">
      <c r="J221" s="8"/>
      <c r="K221" s="24">
        <v>20</v>
      </c>
      <c r="L221" s="20" t="str">
        <f>IF(ISNA(VLOOKUP(CONCATENATE(M$199,$K25),PDP8E!$H$5:$M$385,2,0)),"",VLOOKUP(CONCATENATE(M$199,$K25),PDP8E!$H$5:$M$385,2,0))</f>
        <v/>
      </c>
      <c r="M221" s="21" t="str">
        <f>IF(ISNA(VLOOKUP(CONCATENATE(M$199,$K25),PDP8E!$H$5:$M$385,5,0)),"",IF(LEN(VLOOKUP(CONCATENATE(M$199,$K25),PDP8E!$H$5:$M$385,5,0))&lt;1,"",VLOOKUP(CONCATENATE(M$199,$K25),PDP8E!$H$5:$M$385,5,0)))</f>
        <v/>
      </c>
      <c r="N221" s="22" t="str">
        <f>IF(ISNA(VLOOKUP(CONCATENATE(M$199,$K25),PDP8E!$H$5:$M$385,6,0)),"",IF(LEN(VLOOKUP(CONCATENATE(M$199,$K25),PDP8E!$H$5:$M$385,6,0))&lt;1,"",VLOOKUP(CONCATENATE(M$199,$K25),PDP8E!$H$5:$M$385,6,0)))</f>
        <v/>
      </c>
      <c r="O221" s="26" t="str">
        <f t="shared" si="7"/>
        <v/>
      </c>
      <c r="P221" s="8"/>
    </row>
    <row r="222" spans="10:16" x14ac:dyDescent="0.2">
      <c r="J222" s="8"/>
      <c r="K222" s="24">
        <v>21</v>
      </c>
      <c r="L222" s="20" t="str">
        <f>IF(ISNA(VLOOKUP(CONCATENATE(M$199,$K26),PDP8E!$H$5:$M$385,2,0)),"",VLOOKUP(CONCATENATE(M$199,$K26),PDP8E!$H$5:$M$385,2,0))</f>
        <v/>
      </c>
      <c r="M222" s="21" t="str">
        <f>IF(ISNA(VLOOKUP(CONCATENATE(M$199,$K26),PDP8E!$H$5:$M$385,5,0)),"",IF(LEN(VLOOKUP(CONCATENATE(M$199,$K26),PDP8E!$H$5:$M$385,5,0))&lt;1,"",VLOOKUP(CONCATENATE(M$199,$K26),PDP8E!$H$5:$M$385,5,0)))</f>
        <v/>
      </c>
      <c r="N222" s="22" t="str">
        <f>IF(ISNA(VLOOKUP(CONCATENATE(M$199,$K26),PDP8E!$H$5:$M$385,6,0)),"",IF(LEN(VLOOKUP(CONCATENATE(M$199,$K26),PDP8E!$H$5:$M$385,6,0))&lt;1,"",VLOOKUP(CONCATENATE(M$199,$K26),PDP8E!$H$5:$M$385,6,0)))</f>
        <v/>
      </c>
      <c r="O222" s="26" t="str">
        <f t="shared" si="7"/>
        <v/>
      </c>
      <c r="P222" s="8"/>
    </row>
    <row r="223" spans="10:16" x14ac:dyDescent="0.2">
      <c r="J223" s="8"/>
      <c r="K223" s="24">
        <v>22</v>
      </c>
      <c r="L223" s="20" t="str">
        <f>IF(ISNA(VLOOKUP(CONCATENATE(M$199,$K27),PDP8E!$H$5:$M$385,2,0)),"",VLOOKUP(CONCATENATE(M$199,$K27),PDP8E!$H$5:$M$385,2,0))</f>
        <v/>
      </c>
      <c r="M223" s="21" t="str">
        <f>IF(ISNA(VLOOKUP(CONCATENATE(M$199,$K27),PDP8E!$H$5:$M$385,5,0)),"",IF(LEN(VLOOKUP(CONCATENATE(M$199,$K27),PDP8E!$H$5:$M$385,5,0))&lt;1,"",VLOOKUP(CONCATENATE(M$199,$K27),PDP8E!$H$5:$M$385,5,0)))</f>
        <v/>
      </c>
      <c r="N223" s="22" t="str">
        <f>IF(ISNA(VLOOKUP(CONCATENATE(M$199,$K27),PDP8E!$H$5:$M$385,6,0)),"",IF(LEN(VLOOKUP(CONCATENATE(M$199,$K27),PDP8E!$H$5:$M$385,6,0))&lt;1,"",VLOOKUP(CONCATENATE(M$199,$K27),PDP8E!$H$5:$M$385,6,0)))</f>
        <v/>
      </c>
      <c r="O223" s="26" t="str">
        <f t="shared" si="7"/>
        <v/>
      </c>
      <c r="P223" s="8"/>
    </row>
    <row r="224" spans="10:16" x14ac:dyDescent="0.2">
      <c r="J224" s="8"/>
      <c r="K224" s="24">
        <v>23</v>
      </c>
      <c r="L224" s="20" t="str">
        <f>IF(ISNA(VLOOKUP(CONCATENATE(M$199,$K28),PDP8E!$H$5:$M$385,2,0)),"",VLOOKUP(CONCATENATE(M$199,$K28),PDP8E!$H$5:$M$385,2,0))</f>
        <v/>
      </c>
      <c r="M224" s="21" t="str">
        <f>IF(ISNA(VLOOKUP(CONCATENATE(M$199,$K28),PDP8E!$H$5:$M$385,5,0)),"",IF(LEN(VLOOKUP(CONCATENATE(M$199,$K28),PDP8E!$H$5:$M$385,5,0))&lt;1,"",VLOOKUP(CONCATENATE(M$199,$K28),PDP8E!$H$5:$M$385,5,0)))</f>
        <v/>
      </c>
      <c r="N224" s="22" t="str">
        <f>IF(ISNA(VLOOKUP(CONCATENATE(M$199,$K28),PDP8E!$H$5:$M$385,6,0)),"",IF(LEN(VLOOKUP(CONCATENATE(M$199,$K28),PDP8E!$H$5:$M$385,6,0))&lt;1,"",VLOOKUP(CONCATENATE(M$199,$K28),PDP8E!$H$5:$M$385,6,0)))</f>
        <v/>
      </c>
      <c r="O224" s="26" t="str">
        <f t="shared" si="7"/>
        <v/>
      </c>
      <c r="P224" s="8"/>
    </row>
    <row r="225" spans="10:16" ht="17" thickBot="1" x14ac:dyDescent="0.25">
      <c r="J225" s="8"/>
      <c r="K225" s="27">
        <v>24</v>
      </c>
      <c r="L225" s="28" t="str">
        <f>IF(ISNA(VLOOKUP(CONCATENATE(M$199,$K29),PDP8E!$H$5:$M$385,2,0)),"",VLOOKUP(CONCATENATE(M$199,$K29),PDP8E!$H$5:$M$385,2,0))</f>
        <v/>
      </c>
      <c r="M225" s="29" t="str">
        <f>IF(ISNA(VLOOKUP(CONCATENATE(M$199,$K29),PDP8E!$H$5:$M$385,5,0)),"",IF(LEN(VLOOKUP(CONCATENATE(M$199,$K29),PDP8E!$H$5:$M$385,5,0))&lt;1,"",VLOOKUP(CONCATENATE(M$199,$K29),PDP8E!$H$5:$M$385,5,0)))</f>
        <v/>
      </c>
      <c r="N225" s="30" t="str">
        <f>IF(ISNA(VLOOKUP(CONCATENATE(M$199,$K29),PDP8E!$H$5:$M$385,6,0)),"",IF(LEN(VLOOKUP(CONCATENATE(M$199,$K29),PDP8E!$H$5:$M$385,6,0))&lt;1,"",VLOOKUP(CONCATENATE(M$199,$K29),PDP8E!$H$5:$M$385,6,0)))</f>
        <v/>
      </c>
      <c r="O225" s="31" t="str">
        <f t="shared" si="7"/>
        <v/>
      </c>
      <c r="P225" s="8"/>
    </row>
    <row r="226" spans="10:16" x14ac:dyDescent="0.2">
      <c r="J226" s="8"/>
      <c r="K226" s="8"/>
      <c r="L226" s="9"/>
      <c r="M226" s="8"/>
      <c r="N226" s="10"/>
      <c r="O226" s="8"/>
      <c r="P226" s="8"/>
    </row>
  </sheetData>
  <sheetProtection sheet="1" objects="1" scenarios="1"/>
  <sortState ref="G4:H38">
    <sortCondition ref="G3"/>
  </sortState>
  <mergeCells count="2">
    <mergeCell ref="G2:H2"/>
    <mergeCell ref="B2:D2"/>
  </mergeCells>
  <dataValidations count="1">
    <dataValidation type="list" allowBlank="1" showInputMessage="1" showErrorMessage="1" sqref="C3:C10">
      <formula1>$G$4:$G$38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/>
  </sheetViews>
  <sheetFormatPr baseColWidth="10" defaultRowHeight="16" x14ac:dyDescent="0.2"/>
  <cols>
    <col min="1" max="1" width="2.1640625" customWidth="1"/>
    <col min="2" max="2" width="10.83203125" style="1"/>
    <col min="4" max="5" width="7.83203125" customWidth="1"/>
    <col min="6" max="6" width="10" bestFit="1" customWidth="1"/>
    <col min="7" max="7" width="5.83203125" customWidth="1"/>
    <col min="8" max="8" width="3.5" customWidth="1"/>
    <col min="9" max="9" width="3.33203125" customWidth="1"/>
    <col min="10" max="10" width="10.83203125" customWidth="1"/>
    <col min="14" max="15" width="6.83203125" customWidth="1"/>
    <col min="16" max="17" width="20.83203125" customWidth="1"/>
    <col min="18" max="18" width="12.6640625" bestFit="1" customWidth="1"/>
    <col min="19" max="19" width="39" bestFit="1" customWidth="1"/>
    <col min="20" max="20" width="50.33203125" customWidth="1"/>
    <col min="21" max="21" width="4.6640625" customWidth="1"/>
  </cols>
  <sheetData>
    <row r="1" spans="1:21" x14ac:dyDescent="0.2">
      <c r="A1" s="8"/>
      <c r="B1" s="56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7" thickBot="1" x14ac:dyDescent="0.25">
      <c r="A2" s="8"/>
      <c r="B2" s="56"/>
      <c r="C2" s="8"/>
      <c r="D2" s="57" t="s">
        <v>99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s="6" customFormat="1" ht="33" thickBot="1" x14ac:dyDescent="0.25">
      <c r="A3" s="58"/>
      <c r="B3" s="60" t="s">
        <v>839</v>
      </c>
      <c r="C3" s="102" t="s">
        <v>743</v>
      </c>
      <c r="D3" s="60" t="s">
        <v>732</v>
      </c>
      <c r="E3" s="61" t="s">
        <v>733</v>
      </c>
      <c r="F3" s="61" t="s">
        <v>734</v>
      </c>
      <c r="G3" s="62" t="s">
        <v>735</v>
      </c>
      <c r="H3" s="63" t="s">
        <v>42</v>
      </c>
      <c r="I3" s="61" t="s">
        <v>43</v>
      </c>
      <c r="J3" s="62"/>
      <c r="K3" s="64" t="s">
        <v>736</v>
      </c>
      <c r="L3" s="65" t="s">
        <v>745</v>
      </c>
      <c r="M3" s="65" t="s">
        <v>744</v>
      </c>
      <c r="N3" s="64" t="s">
        <v>737</v>
      </c>
      <c r="O3" s="66" t="s">
        <v>738</v>
      </c>
      <c r="P3" s="67" t="s">
        <v>83</v>
      </c>
      <c r="Q3" s="61" t="s">
        <v>84</v>
      </c>
      <c r="R3" s="67" t="s">
        <v>103</v>
      </c>
      <c r="S3" s="68" t="s">
        <v>754</v>
      </c>
      <c r="T3" s="69" t="s">
        <v>838</v>
      </c>
      <c r="U3" s="59"/>
    </row>
    <row r="4" spans="1:21" x14ac:dyDescent="0.2">
      <c r="A4" s="8"/>
      <c r="B4" s="186" t="s">
        <v>824</v>
      </c>
      <c r="C4" s="103" t="str">
        <f>IF(E4=M847E!$AW$18,"START",IF(ISNA(MATCH(RIGHT(E4,3),K$4:K$35,0)),"",CONCATENATE("LABEL",RIGHT(E4,2))))</f>
        <v>LABEL24</v>
      </c>
      <c r="D4" s="70">
        <v>1</v>
      </c>
      <c r="E4" s="71" t="str">
        <f>LEFT(M847E!AW17,4)</f>
        <v>0024</v>
      </c>
      <c r="F4" s="72">
        <f>VALUE(HLOOKUP(D4,M847E!$B$5:$BN$12,8))</f>
        <v>7126</v>
      </c>
      <c r="G4" s="73" t="str">
        <f>VLOOKUP(VALUE(LEFT(F4,1)),PDP8E!$C$5:$D$12,2,FALSE)</f>
        <v>OPR</v>
      </c>
      <c r="H4" s="34">
        <f>IF($G4="IOT","",_xlfn.BITAND(OCT2DEC($F4),256)/256)</f>
        <v>0</v>
      </c>
      <c r="I4" s="74" t="str">
        <f>IF(OR($G4="IOT",$G4="OPR"),"",_xlfn.BITAND(OCT2DEC($F4),128)/128)</f>
        <v/>
      </c>
      <c r="J4" s="75"/>
      <c r="K4" s="7" t="str">
        <f>IF(OR(G4="IOT",G4="OPR"),"",CONCATENATE(MOD(VALUE(MID(TEXT(F4,"0000"),2,1)),2),RIGHT(TEXT(F4,"0000"),2)))</f>
        <v/>
      </c>
      <c r="L4" s="76" t="str">
        <f>IF(LEN(K4)&lt;1,"",IF(K4=RIGHT(M847E!$AW$18,3),"START",CONCATENATE("LABEL",RIGHT(K4,2))))</f>
        <v/>
      </c>
      <c r="M4" s="76" t="str">
        <f>IF(LEN(L4)&lt;1,"",IF(ISNA(MATCH(L4,$C$4:$C$35,0)),L4,IF(LEN(INDEX($B$4:$B$35,MATCH(L4,$C$4:$C$35,0)))&gt;0,INDEX($B$4:$B$35,MATCH(L4,$C$4:$C$35,0)),L4)))</f>
        <v/>
      </c>
      <c r="N4" s="76" t="str">
        <f t="shared" ref="N4:N35" si="0">IF(G4="IOT",MID(F4,2,2),"")</f>
        <v/>
      </c>
      <c r="O4" s="77" t="str">
        <f t="shared" ref="O4:O35" si="1">IF(G4="IOT",RIGHT(F4,1),"")</f>
        <v/>
      </c>
      <c r="P4" s="78" t="str">
        <f>IF(AND(G4="OPR",H4=0),CONCATENATE(IF(_xlfn.BITAND(OCT2DEC(RIGHT(F4,3)),PDP8E!C$14),PDP8E!D$14,""),IF(_xlfn.BITAND(OCT2DEC(RIGHT(F4,3)),PDP8E!C$15),PDP8E!D$15,""),IF(_xlfn.BITAND(OCT2DEC(RIGHT(F4,3)),PDP8E!C$16),PDP8E!D$16,""),IF(_xlfn.BITAND(OCT2DEC(RIGHT(F4,3)),PDP8E!C$17),PDP8E!D$17,""),IF(_xlfn.BITAND(OCT2DEC(RIGHT(F4,3)),PDP8E!C$18),PDP8E!D$18,""),IF(_xlfn.BITAND(OCT2DEC(F4),14)=PDP8E!C$19,PDP8E!D$19,""),IF(_xlfn.BITAND(OCT2DEC(F4),14)=PDP8E!C$20,PDP8E!D$20,""),IF(_xlfn.BITAND(OCT2DEC(F4),14)=PDP8E!C$21,PDP8E!D$21,""),IF(_xlfn.BITAND(OCT2DEC(F4),14)=PDP8E!C$22,PDP8E!D$22,"")),"")</f>
        <v xml:space="preserve">CLL CML RTL </v>
      </c>
      <c r="Q4" s="79" t="str">
        <f>IF(AND(G4="OPR",H4=1),CONCATENATE(IF(_xlfn.BITAND(OCT2DEC(F4),120)=PDP8E!C$24,PDP8E!D$24,""),IF(_xlfn.BITAND(OCT2DEC(F4),120)=PDP8E!C$25,PDP8E!D$25,""),IF(_xlfn.BITAND(OCT2DEC(F4),120)=PDP8E!C$26,PDP8E!D$26,""),IF(_xlfn.BITAND(OCT2DEC(F4),120)=PDP8E!C$27,PDP8E!D$27,""),IF(_xlfn.BITAND(OCT2DEC(F4),120)=PDP8E!C$28,PDP8E!D$28,""),IF(_xlfn.BITAND(OCT2DEC(F4),120)=PDP8E!C$29,PDP8E!D$29,""),IF(_xlfn.BITAND(OCT2DEC(F4),120)=PDP8E!C$30,PDP8E!D$30,""),IF(_xlfn.BITAND(OCT2DEC(F4),PDP8E!C$31)=PDP8E!C$31,PDP8E!D$31,""),IF(_xlfn.BITAND(OCT2DEC(F4),PDP8E!C$32)=PDP8E!C$32,PDP8E!D$32,""),IF(_xlfn.BITAND(OCT2DEC(F4),PDP8E!C$33)=PDP8E!C$33,PDP8E!D$33,"")),"")</f>
        <v/>
      </c>
      <c r="R4" s="80" t="str">
        <f>IF(ISNA(MATCH($F4,Installed!$L$6:$L$225,0)),"",VLOOKUP($F4,Installed!$L$6:$N$225,2,0))</f>
        <v/>
      </c>
      <c r="S4" s="81" t="str">
        <f>IF(ISNA(MATCH($F4,Installed!$L$6:$L$225,0)),"",CONCATENATE(VLOOKUP($F4,Installed!$L$6:$O$225,4,0),": ",VLOOKUP($F4,Installed!$L$6:$O$225,3,0)))</f>
        <v/>
      </c>
      <c r="T4" s="183"/>
      <c r="U4" s="8"/>
    </row>
    <row r="5" spans="1:21" x14ac:dyDescent="0.2">
      <c r="A5" s="8"/>
      <c r="B5" s="187"/>
      <c r="C5" s="104" t="str">
        <f>IF(E5=M847E!$AW$18,"START",IF(ISNA(MATCH(RIGHT(E5,3),K$4:K$35,0)),"",CONCATENATE("LABEL",RIGHT(E5,2))))</f>
        <v/>
      </c>
      <c r="D5" s="82">
        <v>2</v>
      </c>
      <c r="E5" s="83" t="str">
        <f t="shared" ref="E5:E35" si="2">DEC2OCT(OCT2DEC(E4)+1,4)</f>
        <v>0025</v>
      </c>
      <c r="F5" s="84">
        <f>VALUE(HLOOKUP(D5,M847E!$B$5:$BN$12,8))</f>
        <v>1060</v>
      </c>
      <c r="G5" s="85" t="str">
        <f>VLOOKUP(VALUE(LEFT(F5,1)),PDP8E!$C$5:$D$12,2,FALSE)</f>
        <v>TAD</v>
      </c>
      <c r="H5" s="36">
        <f t="shared" ref="H5:H35" si="3">IF($G5="IOT","",_xlfn.BITAND(OCT2DEC($F5),256)/256)</f>
        <v>0</v>
      </c>
      <c r="I5" s="86">
        <f t="shared" ref="I5:I35" si="4">IF(OR($G5="IOT",$G5="OPR"),"",_xlfn.BITAND(OCT2DEC($F5),128)/128)</f>
        <v>0</v>
      </c>
      <c r="J5" s="87"/>
      <c r="K5" s="88" t="str">
        <f t="shared" ref="K5:K35" si="5">IF(OR(G5="IOT",G5="OPR"),"",CONCATENATE(MOD(VALUE(MID(TEXT(F5,"0000"),2,1)),2),RIGHT(TEXT(F5,"0000"),2)))</f>
        <v>060</v>
      </c>
      <c r="L5" s="76" t="str">
        <f>IF(LEN(K5)&lt;1,"",IF(K5=RIGHT(M847E!$AW$18,3),"START",CONCATENATE("LABEL",RIGHT(K5,2))))</f>
        <v>LABEL60</v>
      </c>
      <c r="M5" s="76" t="str">
        <f t="shared" ref="M5:M35" si="6">IF(LEN(L5)&lt;1,"",IF(ISNA(MATCH(L5,$C$4:$C$35,0)),L5,IF(LEN(INDEX($B$4:$B$35,MATCH(L5,$C$4:$C$35,0)))&gt;0,INDEX($B$4:$B$35,MATCH(L5,$C$4:$C$35,0)),L5)))</f>
        <v>RX1SAV</v>
      </c>
      <c r="N5" s="82" t="str">
        <f t="shared" si="0"/>
        <v/>
      </c>
      <c r="O5" s="83" t="str">
        <f t="shared" si="1"/>
        <v/>
      </c>
      <c r="P5" s="89" t="str">
        <f>IF(AND(G5="OPR",H5=0),CONCATENATE(IF(_xlfn.BITAND(OCT2DEC(RIGHT(F5,3)),PDP8E!C$14),PDP8E!D$14,""),IF(_xlfn.BITAND(OCT2DEC(RIGHT(F5,3)),PDP8E!C$15),PDP8E!D$15,""),IF(_xlfn.BITAND(OCT2DEC(RIGHT(F5,3)),PDP8E!C$16),PDP8E!D$16,""),IF(_xlfn.BITAND(OCT2DEC(RIGHT(F5,3)),PDP8E!C$17),PDP8E!D$17,""),IF(_xlfn.BITAND(OCT2DEC(RIGHT(F5,3)),PDP8E!C$18),PDP8E!D$18,""),IF(_xlfn.BITAND(OCT2DEC(F5),14)=PDP8E!C$19,PDP8E!D$19,""),IF(_xlfn.BITAND(OCT2DEC(F5),14)=PDP8E!C$20,PDP8E!D$20,""),IF(_xlfn.BITAND(OCT2DEC(F5),14)=PDP8E!C$21,PDP8E!D$21,""),IF(_xlfn.BITAND(OCT2DEC(F5),14)=PDP8E!C$22,PDP8E!D$22,"")),"")</f>
        <v/>
      </c>
      <c r="Q5" s="90" t="str">
        <f>IF(AND(G5="OPR",H5=1),CONCATENATE(IF(_xlfn.BITAND(OCT2DEC(F5),120)=PDP8E!C$24,PDP8E!D$24,""),IF(_xlfn.BITAND(OCT2DEC(F5),120)=PDP8E!C$25,PDP8E!D$25,""),IF(_xlfn.BITAND(OCT2DEC(F5),120)=PDP8E!C$26,PDP8E!D$26,""),IF(_xlfn.BITAND(OCT2DEC(F5),120)=PDP8E!C$27,PDP8E!D$27,""),IF(_xlfn.BITAND(OCT2DEC(F5),120)=PDP8E!C$28,PDP8E!D$28,""),IF(_xlfn.BITAND(OCT2DEC(F5),120)=PDP8E!C$29,PDP8E!D$29,""),IF(_xlfn.BITAND(OCT2DEC(F5),120)=PDP8E!C$30,PDP8E!D$30,""),IF(_xlfn.BITAND(OCT2DEC(F5),PDP8E!C$31)=PDP8E!C$31,PDP8E!D$31,""),IF(_xlfn.BITAND(OCT2DEC(F5),PDP8E!C$32)=PDP8E!C$32,PDP8E!D$32,""),IF(_xlfn.BITAND(OCT2DEC(F5),PDP8E!C$33)=PDP8E!C$33,PDP8E!D$33,"")),"")</f>
        <v/>
      </c>
      <c r="R5" s="89" t="str">
        <f>IF(ISNA(MATCH($F5,Installed!$L$6:$L$225,0)),"",VLOOKUP($F5,Installed!$L$6:$N$225,2,0))</f>
        <v/>
      </c>
      <c r="S5" s="91" t="str">
        <f>IF(ISNA(MATCH($F5,Installed!$L$6:$L$225,0)),"",CONCATENATE(VLOOKUP($F5,Installed!$L$6:$O$225,4,0),": ",VLOOKUP($F5,Installed!$L$6:$O$225,3,0)))</f>
        <v/>
      </c>
      <c r="T5" s="184"/>
      <c r="U5" s="8"/>
    </row>
    <row r="6" spans="1:21" x14ac:dyDescent="0.2">
      <c r="A6" s="8"/>
      <c r="B6" s="187"/>
      <c r="C6" s="104" t="str">
        <f>IF(E6=M847E!$AW$18,"START",IF(ISNA(MATCH(RIGHT(E6,3),K$4:K$35,0)),"",CONCATENATE("LABEL",RIGHT(E6,2))))</f>
        <v/>
      </c>
      <c r="D6" s="82">
        <v>3</v>
      </c>
      <c r="E6" s="83" t="str">
        <f t="shared" si="2"/>
        <v>0026</v>
      </c>
      <c r="F6" s="84">
        <f>VALUE(HLOOKUP(D6,M847E!$B$5:$BN$12,8))</f>
        <v>6751</v>
      </c>
      <c r="G6" s="85" t="str">
        <f>VLOOKUP(VALUE(LEFT(F6,1)),PDP8E!$C$5:$D$12,2,FALSE)</f>
        <v>IOT</v>
      </c>
      <c r="H6" s="36" t="str">
        <f t="shared" si="3"/>
        <v/>
      </c>
      <c r="I6" s="86" t="str">
        <f t="shared" si="4"/>
        <v/>
      </c>
      <c r="J6" s="87"/>
      <c r="K6" s="88" t="str">
        <f t="shared" si="5"/>
        <v/>
      </c>
      <c r="L6" s="76" t="str">
        <f>IF(LEN(K6)&lt;1,"",IF(K6=RIGHT(M847E!$AW$18,3),"START",CONCATENATE("LABEL",RIGHT(K6,2))))</f>
        <v/>
      </c>
      <c r="M6" s="76" t="str">
        <f t="shared" si="6"/>
        <v/>
      </c>
      <c r="N6" s="82" t="str">
        <f t="shared" si="0"/>
        <v>75</v>
      </c>
      <c r="O6" s="83" t="str">
        <f t="shared" si="1"/>
        <v>1</v>
      </c>
      <c r="P6" s="89" t="str">
        <f>IF(AND(G6="OPR",H6=0),CONCATENATE(IF(_xlfn.BITAND(OCT2DEC(RIGHT(F6,3)),PDP8E!C$14),PDP8E!D$14,""),IF(_xlfn.BITAND(OCT2DEC(RIGHT(F6,3)),PDP8E!C$15),PDP8E!D$15,""),IF(_xlfn.BITAND(OCT2DEC(RIGHT(F6,3)),PDP8E!C$16),PDP8E!D$16,""),IF(_xlfn.BITAND(OCT2DEC(RIGHT(F6,3)),PDP8E!C$17),PDP8E!D$17,""),IF(_xlfn.BITAND(OCT2DEC(RIGHT(F6,3)),PDP8E!C$18),PDP8E!D$18,""),IF(_xlfn.BITAND(OCT2DEC(F6),14)=PDP8E!C$19,PDP8E!D$19,""),IF(_xlfn.BITAND(OCT2DEC(F6),14)=PDP8E!C$20,PDP8E!D$20,""),IF(_xlfn.BITAND(OCT2DEC(F6),14)=PDP8E!C$21,PDP8E!D$21,""),IF(_xlfn.BITAND(OCT2DEC(F6),14)=PDP8E!C$22,PDP8E!D$22,"")),"")</f>
        <v/>
      </c>
      <c r="Q6" s="90" t="str">
        <f>IF(AND(G6="OPR",H6=1),CONCATENATE(IF(_xlfn.BITAND(OCT2DEC(F6),120)=PDP8E!C$24,PDP8E!D$24,""),IF(_xlfn.BITAND(OCT2DEC(F6),120)=PDP8E!C$25,PDP8E!D$25,""),IF(_xlfn.BITAND(OCT2DEC(F6),120)=PDP8E!C$26,PDP8E!D$26,""),IF(_xlfn.BITAND(OCT2DEC(F6),120)=PDP8E!C$27,PDP8E!D$27,""),IF(_xlfn.BITAND(OCT2DEC(F6),120)=PDP8E!C$28,PDP8E!D$28,""),IF(_xlfn.BITAND(OCT2DEC(F6),120)=PDP8E!C$29,PDP8E!D$29,""),IF(_xlfn.BITAND(OCT2DEC(F6),120)=PDP8E!C$30,PDP8E!D$30,""),IF(_xlfn.BITAND(OCT2DEC(F6),PDP8E!C$31)=PDP8E!C$31,PDP8E!D$31,""),IF(_xlfn.BITAND(OCT2DEC(F6),PDP8E!C$32)=PDP8E!C$32,PDP8E!D$32,""),IF(_xlfn.BITAND(OCT2DEC(F6),PDP8E!C$33)=PDP8E!C$33,PDP8E!D$33,"")),"")</f>
        <v/>
      </c>
      <c r="R6" s="89" t="str">
        <f>IF(ISNA(MATCH($F6,Installed!$L$6:$L$225,0)),"",VLOOKUP($F6,Installed!$L$6:$N$225,2,0))</f>
        <v>LCD</v>
      </c>
      <c r="S6" s="91" t="str">
        <f>IF(ISNA(MATCH($F6,Installed!$L$6:$L$225,0)),"",CONCATENATE(VLOOKUP($F6,Installed!$L$6:$O$225,4,0),": ",VLOOKUP($F6,Installed!$L$6:$O$225,3,0)))</f>
        <v>RX28: Load Command, Clear AC</v>
      </c>
      <c r="T6" s="184"/>
      <c r="U6" s="8"/>
    </row>
    <row r="7" spans="1:21" x14ac:dyDescent="0.2">
      <c r="A7" s="8"/>
      <c r="B7" s="187"/>
      <c r="C7" s="104" t="str">
        <f>IF(E7=M847E!$AW$18,"START",IF(ISNA(MATCH(RIGHT(E7,3),K$4:K$35,0)),"",CONCATENATE("LABEL",RIGHT(E7,2))))</f>
        <v/>
      </c>
      <c r="D7" s="82">
        <v>4</v>
      </c>
      <c r="E7" s="83" t="str">
        <f t="shared" si="2"/>
        <v>0027</v>
      </c>
      <c r="F7" s="84">
        <f>VALUE(HLOOKUP(D7,M847E!$B$5:$BN$12,8))</f>
        <v>7201</v>
      </c>
      <c r="G7" s="85" t="str">
        <f>VLOOKUP(VALUE(LEFT(F7,1)),PDP8E!$C$5:$D$12,2,FALSE)</f>
        <v>OPR</v>
      </c>
      <c r="H7" s="36">
        <f t="shared" si="3"/>
        <v>0</v>
      </c>
      <c r="I7" s="86" t="str">
        <f t="shared" si="4"/>
        <v/>
      </c>
      <c r="J7" s="87"/>
      <c r="K7" s="88" t="str">
        <f t="shared" si="5"/>
        <v/>
      </c>
      <c r="L7" s="76" t="str">
        <f>IF(LEN(K7)&lt;1,"",IF(K7=RIGHT(M847E!$AW$18,3),"START",CONCATENATE("LABEL",RIGHT(K7,2))))</f>
        <v/>
      </c>
      <c r="M7" s="76" t="str">
        <f t="shared" si="6"/>
        <v/>
      </c>
      <c r="N7" s="82" t="str">
        <f t="shared" si="0"/>
        <v/>
      </c>
      <c r="O7" s="83" t="str">
        <f t="shared" si="1"/>
        <v/>
      </c>
      <c r="P7" s="89" t="str">
        <f>IF(AND(G7="OPR",H7=0),CONCATENATE(IF(_xlfn.BITAND(OCT2DEC(RIGHT(F7,3)),PDP8E!C$14),PDP8E!D$14,""),IF(_xlfn.BITAND(OCT2DEC(RIGHT(F7,3)),PDP8E!C$15),PDP8E!D$15,""),IF(_xlfn.BITAND(OCT2DEC(RIGHT(F7,3)),PDP8E!C$16),PDP8E!D$16,""),IF(_xlfn.BITAND(OCT2DEC(RIGHT(F7,3)),PDP8E!C$17),PDP8E!D$17,""),IF(_xlfn.BITAND(OCT2DEC(RIGHT(F7,3)),PDP8E!C$18),PDP8E!D$18,""),IF(_xlfn.BITAND(OCT2DEC(F7),14)=PDP8E!C$19,PDP8E!D$19,""),IF(_xlfn.BITAND(OCT2DEC(F7),14)=PDP8E!C$20,PDP8E!D$20,""),IF(_xlfn.BITAND(OCT2DEC(F7),14)=PDP8E!C$21,PDP8E!D$21,""),IF(_xlfn.BITAND(OCT2DEC(F7),14)=PDP8E!C$22,PDP8E!D$22,"")),"")</f>
        <v xml:space="preserve">CLA IAC </v>
      </c>
      <c r="Q7" s="90" t="str">
        <f>IF(AND(G7="OPR",H7=1),CONCATENATE(IF(_xlfn.BITAND(OCT2DEC(F7),120)=PDP8E!C$24,PDP8E!D$24,""),IF(_xlfn.BITAND(OCT2DEC(F7),120)=PDP8E!C$25,PDP8E!D$25,""),IF(_xlfn.BITAND(OCT2DEC(F7),120)=PDP8E!C$26,PDP8E!D$26,""),IF(_xlfn.BITAND(OCT2DEC(F7),120)=PDP8E!C$27,PDP8E!D$27,""),IF(_xlfn.BITAND(OCT2DEC(F7),120)=PDP8E!C$28,PDP8E!D$28,""),IF(_xlfn.BITAND(OCT2DEC(F7),120)=PDP8E!C$29,PDP8E!D$29,""),IF(_xlfn.BITAND(OCT2DEC(F7),120)=PDP8E!C$30,PDP8E!D$30,""),IF(_xlfn.BITAND(OCT2DEC(F7),PDP8E!C$31)=PDP8E!C$31,PDP8E!D$31,""),IF(_xlfn.BITAND(OCT2DEC(F7),PDP8E!C$32)=PDP8E!C$32,PDP8E!D$32,""),IF(_xlfn.BITAND(OCT2DEC(F7),PDP8E!C$33)=PDP8E!C$33,PDP8E!D$33,"")),"")</f>
        <v/>
      </c>
      <c r="R7" s="89" t="str">
        <f>IF(ISNA(MATCH($F7,Installed!$L$6:$L$225,0)),"",VLOOKUP($F7,Installed!$L$6:$N$225,2,0))</f>
        <v/>
      </c>
      <c r="S7" s="91" t="str">
        <f>IF(ISNA(MATCH($F7,Installed!$L$6:$L$225,0)),"",CONCATENATE(VLOOKUP($F7,Installed!$L$6:$O$225,4,0),": ",VLOOKUP($F7,Installed!$L$6:$O$225,3,0)))</f>
        <v/>
      </c>
      <c r="T7" s="184" t="s">
        <v>731</v>
      </c>
      <c r="U7" s="8"/>
    </row>
    <row r="8" spans="1:21" x14ac:dyDescent="0.2">
      <c r="A8" s="8"/>
      <c r="B8" s="187"/>
      <c r="C8" s="104" t="str">
        <f>IF(E8=M847E!$AW$18,"START",IF(ISNA(MATCH(RIGHT(E8,3),K$4:K$35,0)),"",CONCATENATE("LABEL",RIGHT(E8,2))))</f>
        <v/>
      </c>
      <c r="D8" s="82">
        <v>5</v>
      </c>
      <c r="E8" s="83" t="str">
        <f t="shared" si="2"/>
        <v>0030</v>
      </c>
      <c r="F8" s="84">
        <f>VALUE(HLOOKUP(D8,M847E!$B$5:$BN$12,8))</f>
        <v>4053</v>
      </c>
      <c r="G8" s="85" t="str">
        <f>VLOOKUP(VALUE(LEFT(F8,1)),PDP8E!$C$5:$D$12,2,FALSE)</f>
        <v>JMS</v>
      </c>
      <c r="H8" s="36">
        <f t="shared" si="3"/>
        <v>0</v>
      </c>
      <c r="I8" s="86">
        <f t="shared" si="4"/>
        <v>0</v>
      </c>
      <c r="J8" s="87"/>
      <c r="K8" s="88" t="str">
        <f t="shared" si="5"/>
        <v>053</v>
      </c>
      <c r="L8" s="76" t="str">
        <f>IF(LEN(K8)&lt;1,"",IF(K8=RIGHT(M847E!$AW$18,3),"START",CONCATENATE("LABEL",RIGHT(K8,2))))</f>
        <v>LABEL53</v>
      </c>
      <c r="M8" s="76" t="str">
        <f t="shared" si="6"/>
        <v>LOAD</v>
      </c>
      <c r="N8" s="82" t="str">
        <f t="shared" si="0"/>
        <v/>
      </c>
      <c r="O8" s="83" t="str">
        <f t="shared" si="1"/>
        <v/>
      </c>
      <c r="P8" s="89" t="str">
        <f>IF(AND(G8="OPR",H8=0),CONCATENATE(IF(_xlfn.BITAND(OCT2DEC(RIGHT(F8,3)),PDP8E!C$14),PDP8E!D$14,""),IF(_xlfn.BITAND(OCT2DEC(RIGHT(F8,3)),PDP8E!C$15),PDP8E!D$15,""),IF(_xlfn.BITAND(OCT2DEC(RIGHT(F8,3)),PDP8E!C$16),PDP8E!D$16,""),IF(_xlfn.BITAND(OCT2DEC(RIGHT(F8,3)),PDP8E!C$17),PDP8E!D$17,""),IF(_xlfn.BITAND(OCT2DEC(RIGHT(F8,3)),PDP8E!C$18),PDP8E!D$18,""),IF(_xlfn.BITAND(OCT2DEC(F8),14)=PDP8E!C$19,PDP8E!D$19,""),IF(_xlfn.BITAND(OCT2DEC(F8),14)=PDP8E!C$20,PDP8E!D$20,""),IF(_xlfn.BITAND(OCT2DEC(F8),14)=PDP8E!C$21,PDP8E!D$21,""),IF(_xlfn.BITAND(OCT2DEC(F8),14)=PDP8E!C$22,PDP8E!D$22,"")),"")</f>
        <v/>
      </c>
      <c r="Q8" s="90" t="str">
        <f>IF(AND(G8="OPR",H8=1),CONCATENATE(IF(_xlfn.BITAND(OCT2DEC(F8),120)=PDP8E!C$24,PDP8E!D$24,""),IF(_xlfn.BITAND(OCT2DEC(F8),120)=PDP8E!C$25,PDP8E!D$25,""),IF(_xlfn.BITAND(OCT2DEC(F8),120)=PDP8E!C$26,PDP8E!D$26,""),IF(_xlfn.BITAND(OCT2DEC(F8),120)=PDP8E!C$27,PDP8E!D$27,""),IF(_xlfn.BITAND(OCT2DEC(F8),120)=PDP8E!C$28,PDP8E!D$28,""),IF(_xlfn.BITAND(OCT2DEC(F8),120)=PDP8E!C$29,PDP8E!D$29,""),IF(_xlfn.BITAND(OCT2DEC(F8),120)=PDP8E!C$30,PDP8E!D$30,""),IF(_xlfn.BITAND(OCT2DEC(F8),PDP8E!C$31)=PDP8E!C$31,PDP8E!D$31,""),IF(_xlfn.BITAND(OCT2DEC(F8),PDP8E!C$32)=PDP8E!C$32,PDP8E!D$32,""),IF(_xlfn.BITAND(OCT2DEC(F8),PDP8E!C$33)=PDP8E!C$33,PDP8E!D$33,"")),"")</f>
        <v/>
      </c>
      <c r="R8" s="89" t="str">
        <f>IF(ISNA(MATCH($F8,Installed!$L$6:$L$225,0)),"",VLOOKUP($F8,Installed!$L$6:$N$225,2,0))</f>
        <v/>
      </c>
      <c r="S8" s="91" t="str">
        <f>IF(ISNA(MATCH($F8,Installed!$L$6:$L$225,0)),"",CONCATENATE(VLOOKUP($F8,Installed!$L$6:$O$225,4,0),": ",VLOOKUP($F8,Installed!$L$6:$O$225,3,0)))</f>
        <v/>
      </c>
      <c r="T8" s="184"/>
      <c r="U8" s="8"/>
    </row>
    <row r="9" spans="1:21" x14ac:dyDescent="0.2">
      <c r="A9" s="8"/>
      <c r="B9" s="187"/>
      <c r="C9" s="104" t="str">
        <f>IF(E9=M847E!$AW$18,"START",IF(ISNA(MATCH(RIGHT(E9,3),K$4:K$35,0)),"",CONCATENATE("LABEL",RIGHT(E9,2))))</f>
        <v/>
      </c>
      <c r="D9" s="82">
        <v>6</v>
      </c>
      <c r="E9" s="83" t="str">
        <f t="shared" si="2"/>
        <v>0031</v>
      </c>
      <c r="F9" s="84">
        <f>VALUE(HLOOKUP(D9,M847E!$B$5:$BN$12,8))</f>
        <v>4053</v>
      </c>
      <c r="G9" s="85" t="str">
        <f>VLOOKUP(VALUE(LEFT(F9,1)),PDP8E!$C$5:$D$12,2,FALSE)</f>
        <v>JMS</v>
      </c>
      <c r="H9" s="36">
        <f t="shared" si="3"/>
        <v>0</v>
      </c>
      <c r="I9" s="86">
        <f t="shared" si="4"/>
        <v>0</v>
      </c>
      <c r="J9" s="87"/>
      <c r="K9" s="88" t="str">
        <f t="shared" si="5"/>
        <v>053</v>
      </c>
      <c r="L9" s="76" t="str">
        <f>IF(LEN(K9)&lt;1,"",IF(K9=RIGHT(M847E!$AW$18,3),"START",CONCATENATE("LABEL",RIGHT(K9,2))))</f>
        <v>LABEL53</v>
      </c>
      <c r="M9" s="76" t="str">
        <f t="shared" si="6"/>
        <v>LOAD</v>
      </c>
      <c r="N9" s="82" t="str">
        <f t="shared" si="0"/>
        <v/>
      </c>
      <c r="O9" s="83" t="str">
        <f t="shared" si="1"/>
        <v/>
      </c>
      <c r="P9" s="89" t="str">
        <f>IF(AND(G9="OPR",H9=0),CONCATENATE(IF(_xlfn.BITAND(OCT2DEC(RIGHT(F9,3)),PDP8E!C$14),PDP8E!D$14,""),IF(_xlfn.BITAND(OCT2DEC(RIGHT(F9,3)),PDP8E!C$15),PDP8E!D$15,""),IF(_xlfn.BITAND(OCT2DEC(RIGHT(F9,3)),PDP8E!C$16),PDP8E!D$16,""),IF(_xlfn.BITAND(OCT2DEC(RIGHT(F9,3)),PDP8E!C$17),PDP8E!D$17,""),IF(_xlfn.BITAND(OCT2DEC(RIGHT(F9,3)),PDP8E!C$18),PDP8E!D$18,""),IF(_xlfn.BITAND(OCT2DEC(F9),14)=PDP8E!C$19,PDP8E!D$19,""),IF(_xlfn.BITAND(OCT2DEC(F9),14)=PDP8E!C$20,PDP8E!D$20,""),IF(_xlfn.BITAND(OCT2DEC(F9),14)=PDP8E!C$21,PDP8E!D$21,""),IF(_xlfn.BITAND(OCT2DEC(F9),14)=PDP8E!C$22,PDP8E!D$22,"")),"")</f>
        <v/>
      </c>
      <c r="Q9" s="90" t="str">
        <f>IF(AND(G9="OPR",H9=1),CONCATENATE(IF(_xlfn.BITAND(OCT2DEC(F9),120)=PDP8E!C$24,PDP8E!D$24,""),IF(_xlfn.BITAND(OCT2DEC(F9),120)=PDP8E!C$25,PDP8E!D$25,""),IF(_xlfn.BITAND(OCT2DEC(F9),120)=PDP8E!C$26,PDP8E!D$26,""),IF(_xlfn.BITAND(OCT2DEC(F9),120)=PDP8E!C$27,PDP8E!D$27,""),IF(_xlfn.BITAND(OCT2DEC(F9),120)=PDP8E!C$28,PDP8E!D$28,""),IF(_xlfn.BITAND(OCT2DEC(F9),120)=PDP8E!C$29,PDP8E!D$29,""),IF(_xlfn.BITAND(OCT2DEC(F9),120)=PDP8E!C$30,PDP8E!D$30,""),IF(_xlfn.BITAND(OCT2DEC(F9),PDP8E!C$31)=PDP8E!C$31,PDP8E!D$31,""),IF(_xlfn.BITAND(OCT2DEC(F9),PDP8E!C$32)=PDP8E!C$32,PDP8E!D$32,""),IF(_xlfn.BITAND(OCT2DEC(F9),PDP8E!C$33)=PDP8E!C$33,PDP8E!D$33,"")),"")</f>
        <v/>
      </c>
      <c r="R9" s="89" t="str">
        <f>IF(ISNA(MATCH($F9,Installed!$L$6:$L$225,0)),"",VLOOKUP($F9,Installed!$L$6:$N$225,2,0))</f>
        <v/>
      </c>
      <c r="S9" s="91" t="str">
        <f>IF(ISNA(MATCH($F9,Installed!$L$6:$L$225,0)),"",CONCATENATE(VLOOKUP($F9,Installed!$L$6:$O$225,4,0),": ",VLOOKUP($F9,Installed!$L$6:$O$225,3,0)))</f>
        <v/>
      </c>
      <c r="T9" s="184"/>
      <c r="U9" s="8"/>
    </row>
    <row r="10" spans="1:21" x14ac:dyDescent="0.2">
      <c r="A10" s="8"/>
      <c r="B10" s="187"/>
      <c r="C10" s="104" t="str">
        <f>IF(E10=M847E!$AW$18,"START",IF(ISNA(MATCH(RIGHT(E10,3),K$4:K$35,0)),"",CONCATENATE("LABEL",RIGHT(E10,2))))</f>
        <v/>
      </c>
      <c r="D10" s="82">
        <v>7</v>
      </c>
      <c r="E10" s="83" t="str">
        <f t="shared" si="2"/>
        <v>0032</v>
      </c>
      <c r="F10" s="84">
        <f>VALUE(HLOOKUP(D10,M847E!$B$5:$BN$12,8))</f>
        <v>7104</v>
      </c>
      <c r="G10" s="85" t="str">
        <f>VLOOKUP(VALUE(LEFT(F10,1)),PDP8E!$C$5:$D$12,2,FALSE)</f>
        <v>OPR</v>
      </c>
      <c r="H10" s="36">
        <f t="shared" si="3"/>
        <v>0</v>
      </c>
      <c r="I10" s="86" t="str">
        <f t="shared" si="4"/>
        <v/>
      </c>
      <c r="J10" s="87"/>
      <c r="K10" s="88" t="str">
        <f t="shared" si="5"/>
        <v/>
      </c>
      <c r="L10" s="76" t="str">
        <f>IF(LEN(K10)&lt;1,"",IF(K10=RIGHT(M847E!$AW$18,3),"START",CONCATENATE("LABEL",RIGHT(K10,2))))</f>
        <v/>
      </c>
      <c r="M10" s="76" t="str">
        <f t="shared" si="6"/>
        <v/>
      </c>
      <c r="N10" s="82" t="str">
        <f t="shared" si="0"/>
        <v/>
      </c>
      <c r="O10" s="83" t="str">
        <f t="shared" si="1"/>
        <v/>
      </c>
      <c r="P10" s="89" t="str">
        <f>IF(AND(G10="OPR",H10=0),CONCATENATE(IF(_xlfn.BITAND(OCT2DEC(RIGHT(F10,3)),PDP8E!C$14),PDP8E!D$14,""),IF(_xlfn.BITAND(OCT2DEC(RIGHT(F10,3)),PDP8E!C$15),PDP8E!D$15,""),IF(_xlfn.BITAND(OCT2DEC(RIGHT(F10,3)),PDP8E!C$16),PDP8E!D$16,""),IF(_xlfn.BITAND(OCT2DEC(RIGHT(F10,3)),PDP8E!C$17),PDP8E!D$17,""),IF(_xlfn.BITAND(OCT2DEC(RIGHT(F10,3)),PDP8E!C$18),PDP8E!D$18,""),IF(_xlfn.BITAND(OCT2DEC(F10),14)=PDP8E!C$19,PDP8E!D$19,""),IF(_xlfn.BITAND(OCT2DEC(F10),14)=PDP8E!C$20,PDP8E!D$20,""),IF(_xlfn.BITAND(OCT2DEC(F10),14)=PDP8E!C$21,PDP8E!D$21,""),IF(_xlfn.BITAND(OCT2DEC(F10),14)=PDP8E!C$22,PDP8E!D$22,"")),"")</f>
        <v xml:space="preserve">CLL RAL </v>
      </c>
      <c r="Q10" s="90" t="str">
        <f>IF(AND(G10="OPR",H10=1),CONCATENATE(IF(_xlfn.BITAND(OCT2DEC(F10),120)=PDP8E!C$24,PDP8E!D$24,""),IF(_xlfn.BITAND(OCT2DEC(F10),120)=PDP8E!C$25,PDP8E!D$25,""),IF(_xlfn.BITAND(OCT2DEC(F10),120)=PDP8E!C$26,PDP8E!D$26,""),IF(_xlfn.BITAND(OCT2DEC(F10),120)=PDP8E!C$27,PDP8E!D$27,""),IF(_xlfn.BITAND(OCT2DEC(F10),120)=PDP8E!C$28,PDP8E!D$28,""),IF(_xlfn.BITAND(OCT2DEC(F10),120)=PDP8E!C$29,PDP8E!D$29,""),IF(_xlfn.BITAND(OCT2DEC(F10),120)=PDP8E!C$30,PDP8E!D$30,""),IF(_xlfn.BITAND(OCT2DEC(F10),PDP8E!C$31)=PDP8E!C$31,PDP8E!D$31,""),IF(_xlfn.BITAND(OCT2DEC(F10),PDP8E!C$32)=PDP8E!C$32,PDP8E!D$32,""),IF(_xlfn.BITAND(OCT2DEC(F10),PDP8E!C$33)=PDP8E!C$33,PDP8E!D$33,"")),"")</f>
        <v/>
      </c>
      <c r="R10" s="89" t="str">
        <f>IF(ISNA(MATCH($F10,Installed!$L$6:$L$225,0)),"",VLOOKUP($F10,Installed!$L$6:$N$225,2,0))</f>
        <v/>
      </c>
      <c r="S10" s="91" t="str">
        <f>IF(ISNA(MATCH($F10,Installed!$L$6:$L$225,0)),"",CONCATENATE(VLOOKUP($F10,Installed!$L$6:$O$225,4,0),": ",VLOOKUP($F10,Installed!$L$6:$O$225,3,0)))</f>
        <v/>
      </c>
      <c r="T10" s="184"/>
      <c r="U10" s="8"/>
    </row>
    <row r="11" spans="1:21" x14ac:dyDescent="0.2">
      <c r="A11" s="8"/>
      <c r="B11" s="187"/>
      <c r="C11" s="104" t="str">
        <f>IF(E11=M847E!$AW$18,"START",IF(ISNA(MATCH(RIGHT(E11,3),K$4:K$35,0)),"",CONCATENATE("LABEL",RIGHT(E11,2))))</f>
        <v>START</v>
      </c>
      <c r="D11" s="82">
        <v>8</v>
      </c>
      <c r="E11" s="83" t="str">
        <f t="shared" si="2"/>
        <v>0033</v>
      </c>
      <c r="F11" s="84">
        <f>VALUE(HLOOKUP(D11,M847E!$B$5:$BN$12,8))</f>
        <v>6755</v>
      </c>
      <c r="G11" s="85" t="str">
        <f>VLOOKUP(VALUE(LEFT(F11,1)),PDP8E!$C$5:$D$12,2,FALSE)</f>
        <v>IOT</v>
      </c>
      <c r="H11" s="36" t="str">
        <f t="shared" si="3"/>
        <v/>
      </c>
      <c r="I11" s="86" t="str">
        <f t="shared" si="4"/>
        <v/>
      </c>
      <c r="J11" s="87"/>
      <c r="K11" s="88" t="str">
        <f t="shared" si="5"/>
        <v/>
      </c>
      <c r="L11" s="76" t="str">
        <f>IF(LEN(K11)&lt;1,"",IF(K11=RIGHT(M847E!$AW$18,3),"START",CONCATENATE("LABEL",RIGHT(K11,2))))</f>
        <v/>
      </c>
      <c r="M11" s="76" t="str">
        <f t="shared" si="6"/>
        <v/>
      </c>
      <c r="N11" s="82" t="str">
        <f t="shared" si="0"/>
        <v>75</v>
      </c>
      <c r="O11" s="83" t="str">
        <f t="shared" si="1"/>
        <v>5</v>
      </c>
      <c r="P11" s="89" t="str">
        <f>IF(AND(G11="OPR",H11=0),CONCATENATE(IF(_xlfn.BITAND(OCT2DEC(RIGHT(F11,3)),PDP8E!C$14),PDP8E!D$14,""),IF(_xlfn.BITAND(OCT2DEC(RIGHT(F11,3)),PDP8E!C$15),PDP8E!D$15,""),IF(_xlfn.BITAND(OCT2DEC(RIGHT(F11,3)),PDP8E!C$16),PDP8E!D$16,""),IF(_xlfn.BITAND(OCT2DEC(RIGHT(F11,3)),PDP8E!C$17),PDP8E!D$17,""),IF(_xlfn.BITAND(OCT2DEC(RIGHT(F11,3)),PDP8E!C$18),PDP8E!D$18,""),IF(_xlfn.BITAND(OCT2DEC(F11),14)=PDP8E!C$19,PDP8E!D$19,""),IF(_xlfn.BITAND(OCT2DEC(F11),14)=PDP8E!C$20,PDP8E!D$20,""),IF(_xlfn.BITAND(OCT2DEC(F11),14)=PDP8E!C$21,PDP8E!D$21,""),IF(_xlfn.BITAND(OCT2DEC(F11),14)=PDP8E!C$22,PDP8E!D$22,"")),"")</f>
        <v/>
      </c>
      <c r="Q11" s="90" t="str">
        <f>IF(AND(G11="OPR",H11=1),CONCATENATE(IF(_xlfn.BITAND(OCT2DEC(F11),120)=PDP8E!C$24,PDP8E!D$24,""),IF(_xlfn.BITAND(OCT2DEC(F11),120)=PDP8E!C$25,PDP8E!D$25,""),IF(_xlfn.BITAND(OCT2DEC(F11),120)=PDP8E!C$26,PDP8E!D$26,""),IF(_xlfn.BITAND(OCT2DEC(F11),120)=PDP8E!C$27,PDP8E!D$27,""),IF(_xlfn.BITAND(OCT2DEC(F11),120)=PDP8E!C$28,PDP8E!D$28,""),IF(_xlfn.BITAND(OCT2DEC(F11),120)=PDP8E!C$29,PDP8E!D$29,""),IF(_xlfn.BITAND(OCT2DEC(F11),120)=PDP8E!C$30,PDP8E!D$30,""),IF(_xlfn.BITAND(OCT2DEC(F11),PDP8E!C$31)=PDP8E!C$31,PDP8E!D$31,""),IF(_xlfn.BITAND(OCT2DEC(F11),PDP8E!C$32)=PDP8E!C$32,PDP8E!D$32,""),IF(_xlfn.BITAND(OCT2DEC(F11),PDP8E!C$33)=PDP8E!C$33,PDP8E!D$33,"")),"")</f>
        <v/>
      </c>
      <c r="R11" s="89" t="str">
        <f>IF(ISNA(MATCH($F11,Installed!$L$6:$L$225,0)),"",VLOOKUP($F11,Installed!$L$6:$N$225,2,0))</f>
        <v>SDN</v>
      </c>
      <c r="S11" s="91" t="str">
        <f>IF(ISNA(MATCH($F11,Installed!$L$6:$L$225,0)),"",CONCATENATE(VLOOKUP($F11,Installed!$L$6:$O$225,4,0),": ",VLOOKUP($F11,Installed!$L$6:$O$225,3,0)))</f>
        <v>RX28: Skip on Done Flag, Clear Flag</v>
      </c>
      <c r="T11" s="184"/>
      <c r="U11" s="8"/>
    </row>
    <row r="12" spans="1:21" x14ac:dyDescent="0.2">
      <c r="A12" s="8"/>
      <c r="B12" s="187"/>
      <c r="C12" s="104" t="str">
        <f>IF(E12=M847E!$AW$18,"START",IF(ISNA(MATCH(RIGHT(E12,3),K$4:K$35,0)),"",CONCATENATE("LABEL",RIGHT(E12,2))))</f>
        <v/>
      </c>
      <c r="D12" s="82">
        <v>9</v>
      </c>
      <c r="E12" s="83" t="str">
        <f t="shared" si="2"/>
        <v>0034</v>
      </c>
      <c r="F12" s="84">
        <f>VALUE(HLOOKUP(D12,M847E!$B$5:$BN$12,8))</f>
        <v>5054</v>
      </c>
      <c r="G12" s="85" t="str">
        <f>VLOOKUP(VALUE(LEFT(F12,1)),PDP8E!$C$5:$D$12,2,FALSE)</f>
        <v>JMP</v>
      </c>
      <c r="H12" s="36">
        <f t="shared" si="3"/>
        <v>0</v>
      </c>
      <c r="I12" s="86">
        <f t="shared" si="4"/>
        <v>0</v>
      </c>
      <c r="J12" s="87"/>
      <c r="K12" s="88" t="str">
        <f t="shared" si="5"/>
        <v>054</v>
      </c>
      <c r="L12" s="76" t="str">
        <f>IF(LEN(K12)&lt;1,"",IF(K12=RIGHT(M847E!$AW$18,3),"START",CONCATENATE("LABEL",RIGHT(K12,2))))</f>
        <v>LABEL54</v>
      </c>
      <c r="M12" s="76" t="str">
        <f t="shared" si="6"/>
        <v>LABEL54</v>
      </c>
      <c r="N12" s="82" t="str">
        <f t="shared" si="0"/>
        <v/>
      </c>
      <c r="O12" s="83" t="str">
        <f t="shared" si="1"/>
        <v/>
      </c>
      <c r="P12" s="89" t="str">
        <f>IF(AND(G12="OPR",H12=0),CONCATENATE(IF(_xlfn.BITAND(OCT2DEC(RIGHT(F12,3)),PDP8E!C$14),PDP8E!D$14,""),IF(_xlfn.BITAND(OCT2DEC(RIGHT(F12,3)),PDP8E!C$15),PDP8E!D$15,""),IF(_xlfn.BITAND(OCT2DEC(RIGHT(F12,3)),PDP8E!C$16),PDP8E!D$16,""),IF(_xlfn.BITAND(OCT2DEC(RIGHT(F12,3)),PDP8E!C$17),PDP8E!D$17,""),IF(_xlfn.BITAND(OCT2DEC(RIGHT(F12,3)),PDP8E!C$18),PDP8E!D$18,""),IF(_xlfn.BITAND(OCT2DEC(F12),14)=PDP8E!C$19,PDP8E!D$19,""),IF(_xlfn.BITAND(OCT2DEC(F12),14)=PDP8E!C$20,PDP8E!D$20,""),IF(_xlfn.BITAND(OCT2DEC(F12),14)=PDP8E!C$21,PDP8E!D$21,""),IF(_xlfn.BITAND(OCT2DEC(F12),14)=PDP8E!C$22,PDP8E!D$22,"")),"")</f>
        <v/>
      </c>
      <c r="Q12" s="90" t="str">
        <f>IF(AND(G12="OPR",H12=1),CONCATENATE(IF(_xlfn.BITAND(OCT2DEC(F12),120)=PDP8E!C$24,PDP8E!D$24,""),IF(_xlfn.BITAND(OCT2DEC(F12),120)=PDP8E!C$25,PDP8E!D$25,""),IF(_xlfn.BITAND(OCT2DEC(F12),120)=PDP8E!C$26,PDP8E!D$26,""),IF(_xlfn.BITAND(OCT2DEC(F12),120)=PDP8E!C$27,PDP8E!D$27,""),IF(_xlfn.BITAND(OCT2DEC(F12),120)=PDP8E!C$28,PDP8E!D$28,""),IF(_xlfn.BITAND(OCT2DEC(F12),120)=PDP8E!C$29,PDP8E!D$29,""),IF(_xlfn.BITAND(OCT2DEC(F12),120)=PDP8E!C$30,PDP8E!D$30,""),IF(_xlfn.BITAND(OCT2DEC(F12),PDP8E!C$31)=PDP8E!C$31,PDP8E!D$31,""),IF(_xlfn.BITAND(OCT2DEC(F12),PDP8E!C$32)=PDP8E!C$32,PDP8E!D$32,""),IF(_xlfn.BITAND(OCT2DEC(F12),PDP8E!C$33)=PDP8E!C$33,PDP8E!D$33,"")),"")</f>
        <v/>
      </c>
      <c r="R12" s="89" t="str">
        <f>IF(ISNA(MATCH($F12,Installed!$L$6:$L$225,0)),"",VLOOKUP($F12,Installed!$L$6:$N$225,2,0))</f>
        <v/>
      </c>
      <c r="S12" s="91" t="str">
        <f>IF(ISNA(MATCH($F12,Installed!$L$6:$L$225,0)),"",CONCATENATE(VLOOKUP($F12,Installed!$L$6:$O$225,4,0),": ",VLOOKUP($F12,Installed!$L$6:$O$225,3,0)))</f>
        <v/>
      </c>
      <c r="T12" s="184"/>
      <c r="U12" s="8"/>
    </row>
    <row r="13" spans="1:21" x14ac:dyDescent="0.2">
      <c r="A13" s="8"/>
      <c r="B13" s="187"/>
      <c r="C13" s="104" t="str">
        <f>IF(E13=M847E!$AW$18,"START",IF(ISNA(MATCH(RIGHT(E13,3),K$4:K$35,0)),"",CONCATENATE("LABEL",RIGHT(E13,2))))</f>
        <v/>
      </c>
      <c r="D13" s="82">
        <v>10</v>
      </c>
      <c r="E13" s="83" t="str">
        <f t="shared" si="2"/>
        <v>0035</v>
      </c>
      <c r="F13" s="84">
        <f>VALUE(HLOOKUP(D13,M847E!$B$5:$BN$12,8))</f>
        <v>6754</v>
      </c>
      <c r="G13" s="85" t="str">
        <f>VLOOKUP(VALUE(LEFT(F13,1)),PDP8E!$C$5:$D$12,2,FALSE)</f>
        <v>IOT</v>
      </c>
      <c r="H13" s="36" t="str">
        <f t="shared" si="3"/>
        <v/>
      </c>
      <c r="I13" s="86" t="str">
        <f t="shared" si="4"/>
        <v/>
      </c>
      <c r="J13" s="87"/>
      <c r="K13" s="88" t="str">
        <f t="shared" si="5"/>
        <v/>
      </c>
      <c r="L13" s="76" t="str">
        <f>IF(LEN(K13)&lt;1,"",IF(K13=RIGHT(M847E!$AW$18,3),"START",CONCATENATE("LABEL",RIGHT(K13,2))))</f>
        <v/>
      </c>
      <c r="M13" s="76" t="str">
        <f t="shared" si="6"/>
        <v/>
      </c>
      <c r="N13" s="82" t="str">
        <f t="shared" si="0"/>
        <v>75</v>
      </c>
      <c r="O13" s="83" t="str">
        <f t="shared" si="1"/>
        <v>4</v>
      </c>
      <c r="P13" s="89" t="str">
        <f>IF(AND(G13="OPR",H13=0),CONCATENATE(IF(_xlfn.BITAND(OCT2DEC(RIGHT(F13,3)),PDP8E!C$14),PDP8E!D$14,""),IF(_xlfn.BITAND(OCT2DEC(RIGHT(F13,3)),PDP8E!C$15),PDP8E!D$15,""),IF(_xlfn.BITAND(OCT2DEC(RIGHT(F13,3)),PDP8E!C$16),PDP8E!D$16,""),IF(_xlfn.BITAND(OCT2DEC(RIGHT(F13,3)),PDP8E!C$17),PDP8E!D$17,""),IF(_xlfn.BITAND(OCT2DEC(RIGHT(F13,3)),PDP8E!C$18),PDP8E!D$18,""),IF(_xlfn.BITAND(OCT2DEC(F13),14)=PDP8E!C$19,PDP8E!D$19,""),IF(_xlfn.BITAND(OCT2DEC(F13),14)=PDP8E!C$20,PDP8E!D$20,""),IF(_xlfn.BITAND(OCT2DEC(F13),14)=PDP8E!C$21,PDP8E!D$21,""),IF(_xlfn.BITAND(OCT2DEC(F13),14)=PDP8E!C$22,PDP8E!D$22,"")),"")</f>
        <v/>
      </c>
      <c r="Q13" s="90" t="str">
        <f>IF(AND(G13="OPR",H13=1),CONCATENATE(IF(_xlfn.BITAND(OCT2DEC(F13),120)=PDP8E!C$24,PDP8E!D$24,""),IF(_xlfn.BITAND(OCT2DEC(F13),120)=PDP8E!C$25,PDP8E!D$25,""),IF(_xlfn.BITAND(OCT2DEC(F13),120)=PDP8E!C$26,PDP8E!D$26,""),IF(_xlfn.BITAND(OCT2DEC(F13),120)=PDP8E!C$27,PDP8E!D$27,""),IF(_xlfn.BITAND(OCT2DEC(F13),120)=PDP8E!C$28,PDP8E!D$28,""),IF(_xlfn.BITAND(OCT2DEC(F13),120)=PDP8E!C$29,PDP8E!D$29,""),IF(_xlfn.BITAND(OCT2DEC(F13),120)=PDP8E!C$30,PDP8E!D$30,""),IF(_xlfn.BITAND(OCT2DEC(F13),PDP8E!C$31)=PDP8E!C$31,PDP8E!D$31,""),IF(_xlfn.BITAND(OCT2DEC(F13),PDP8E!C$32)=PDP8E!C$32,PDP8E!D$32,""),IF(_xlfn.BITAND(OCT2DEC(F13),PDP8E!C$33)=PDP8E!C$33,PDP8E!D$33,"")),"")</f>
        <v/>
      </c>
      <c r="R13" s="89" t="str">
        <f>IF(ISNA(MATCH($F13,Installed!$L$6:$L$225,0)),"",VLOOKUP($F13,Installed!$L$6:$N$225,2,0))</f>
        <v>SER</v>
      </c>
      <c r="S13" s="91" t="str">
        <f>IF(ISNA(MATCH($F13,Installed!$L$6:$L$225,0)),"",CONCATENATE(VLOOKUP($F13,Installed!$L$6:$O$225,4,0),": ",VLOOKUP($F13,Installed!$L$6:$O$225,3,0)))</f>
        <v>RX28: Skip on Error Flag, Clear Flag</v>
      </c>
      <c r="T13" s="184"/>
      <c r="U13" s="8"/>
    </row>
    <row r="14" spans="1:21" x14ac:dyDescent="0.2">
      <c r="A14" s="8"/>
      <c r="B14" s="187"/>
      <c r="C14" s="104" t="str">
        <f>IF(E14=M847E!$AW$18,"START",IF(ISNA(MATCH(RIGHT(E14,3),K$4:K$35,0)),"",CONCATENATE("LABEL",RIGHT(E14,2))))</f>
        <v/>
      </c>
      <c r="D14" s="82">
        <v>11</v>
      </c>
      <c r="E14" s="83" t="str">
        <f t="shared" si="2"/>
        <v>0036</v>
      </c>
      <c r="F14" s="84">
        <f>VALUE(HLOOKUP(D14,M847E!$B$5:$BN$12,8))</f>
        <v>7450</v>
      </c>
      <c r="G14" s="85" t="str">
        <f>VLOOKUP(VALUE(LEFT(F14,1)),PDP8E!$C$5:$D$12,2,FALSE)</f>
        <v>OPR</v>
      </c>
      <c r="H14" s="36">
        <f t="shared" si="3"/>
        <v>1</v>
      </c>
      <c r="I14" s="86" t="str">
        <f t="shared" si="4"/>
        <v/>
      </c>
      <c r="J14" s="87"/>
      <c r="K14" s="88" t="str">
        <f t="shared" si="5"/>
        <v/>
      </c>
      <c r="L14" s="76" t="str">
        <f>IF(LEN(K14)&lt;1,"",IF(K14=RIGHT(M847E!$AW$18,3),"START",CONCATENATE("LABEL",RIGHT(K14,2))))</f>
        <v/>
      </c>
      <c r="M14" s="76" t="str">
        <f t="shared" si="6"/>
        <v/>
      </c>
      <c r="N14" s="82" t="str">
        <f t="shared" si="0"/>
        <v/>
      </c>
      <c r="O14" s="83" t="str">
        <f t="shared" si="1"/>
        <v/>
      </c>
      <c r="P14" s="89" t="str">
        <f>IF(AND(G14="OPR",H14=0),CONCATENATE(IF(_xlfn.BITAND(OCT2DEC(RIGHT(F14,3)),PDP8E!C$14),PDP8E!D$14,""),IF(_xlfn.BITAND(OCT2DEC(RIGHT(F14,3)),PDP8E!C$15),PDP8E!D$15,""),IF(_xlfn.BITAND(OCT2DEC(RIGHT(F14,3)),PDP8E!C$16),PDP8E!D$16,""),IF(_xlfn.BITAND(OCT2DEC(RIGHT(F14,3)),PDP8E!C$17),PDP8E!D$17,""),IF(_xlfn.BITAND(OCT2DEC(RIGHT(F14,3)),PDP8E!C$18),PDP8E!D$18,""),IF(_xlfn.BITAND(OCT2DEC(F14),14)=PDP8E!C$19,PDP8E!D$19,""),IF(_xlfn.BITAND(OCT2DEC(F14),14)=PDP8E!C$20,PDP8E!D$20,""),IF(_xlfn.BITAND(OCT2DEC(F14),14)=PDP8E!C$21,PDP8E!D$21,""),IF(_xlfn.BITAND(OCT2DEC(F14),14)=PDP8E!C$22,PDP8E!D$22,"")),"")</f>
        <v/>
      </c>
      <c r="Q14" s="90" t="str">
        <f>IF(AND(G14="OPR",H14=1),CONCATENATE(IF(_xlfn.BITAND(OCT2DEC(F14),120)=PDP8E!C$24,PDP8E!D$24,""),IF(_xlfn.BITAND(OCT2DEC(F14),120)=PDP8E!C$25,PDP8E!D$25,""),IF(_xlfn.BITAND(OCT2DEC(F14),120)=PDP8E!C$26,PDP8E!D$26,""),IF(_xlfn.BITAND(OCT2DEC(F14),120)=PDP8E!C$27,PDP8E!D$27,""),IF(_xlfn.BITAND(OCT2DEC(F14),120)=PDP8E!C$28,PDP8E!D$28,""),IF(_xlfn.BITAND(OCT2DEC(F14),120)=PDP8E!C$29,PDP8E!D$29,""),IF(_xlfn.BITAND(OCT2DEC(F14),120)=PDP8E!C$30,PDP8E!D$30,""),IF(_xlfn.BITAND(OCT2DEC(F14),PDP8E!C$31)=PDP8E!C$31,PDP8E!D$31,""),IF(_xlfn.BITAND(OCT2DEC(F14),PDP8E!C$32)=PDP8E!C$32,PDP8E!D$32,""),IF(_xlfn.BITAND(OCT2DEC(F14),PDP8E!C$33)=PDP8E!C$33,PDP8E!D$33,"")),"")</f>
        <v xml:space="preserve">SNA </v>
      </c>
      <c r="R14" s="89" t="str">
        <f>IF(ISNA(MATCH($F14,Installed!$L$6:$L$225,0)),"",VLOOKUP($F14,Installed!$L$6:$N$225,2,0))</f>
        <v/>
      </c>
      <c r="S14" s="91" t="str">
        <f>IF(ISNA(MATCH($F14,Installed!$L$6:$L$225,0)),"",CONCATENATE(VLOOKUP($F14,Installed!$L$6:$O$225,4,0),": ",VLOOKUP($F14,Installed!$L$6:$O$225,3,0)))</f>
        <v/>
      </c>
      <c r="T14" s="184" t="s">
        <v>70</v>
      </c>
      <c r="U14" s="8"/>
    </row>
    <row r="15" spans="1:21" x14ac:dyDescent="0.2">
      <c r="A15" s="8"/>
      <c r="B15" s="187"/>
      <c r="C15" s="104" t="str">
        <f>IF(E15=M847E!$AW$18,"START",IF(ISNA(MATCH(RIGHT(E15,3),K$4:K$35,0)),"",CONCATENATE("LABEL",RIGHT(E15,2))))</f>
        <v/>
      </c>
      <c r="D15" s="82">
        <v>12</v>
      </c>
      <c r="E15" s="83" t="str">
        <f t="shared" si="2"/>
        <v>0037</v>
      </c>
      <c r="F15" s="84">
        <f>VALUE(HLOOKUP(D15,M847E!$B$5:$BN$12,8))</f>
        <v>7610</v>
      </c>
      <c r="G15" s="85" t="str">
        <f>VLOOKUP(VALUE(LEFT(F15,1)),PDP8E!$C$5:$D$12,2,FALSE)</f>
        <v>OPR</v>
      </c>
      <c r="H15" s="36">
        <f t="shared" si="3"/>
        <v>1</v>
      </c>
      <c r="I15" s="86" t="str">
        <f t="shared" si="4"/>
        <v/>
      </c>
      <c r="J15" s="87"/>
      <c r="K15" s="88" t="str">
        <f t="shared" si="5"/>
        <v/>
      </c>
      <c r="L15" s="76" t="str">
        <f>IF(LEN(K15)&lt;1,"",IF(K15=RIGHT(M847E!$AW$18,3),"START",CONCATENATE("LABEL",RIGHT(K15,2))))</f>
        <v/>
      </c>
      <c r="M15" s="76" t="str">
        <f t="shared" si="6"/>
        <v/>
      </c>
      <c r="N15" s="82" t="str">
        <f t="shared" si="0"/>
        <v/>
      </c>
      <c r="O15" s="83" t="str">
        <f t="shared" si="1"/>
        <v/>
      </c>
      <c r="P15" s="89" t="str">
        <f>IF(AND(G15="OPR",H15=0),CONCATENATE(IF(_xlfn.BITAND(OCT2DEC(RIGHT(F15,3)),PDP8E!C$14),PDP8E!D$14,""),IF(_xlfn.BITAND(OCT2DEC(RIGHT(F15,3)),PDP8E!C$15),PDP8E!D$15,""),IF(_xlfn.BITAND(OCT2DEC(RIGHT(F15,3)),PDP8E!C$16),PDP8E!D$16,""),IF(_xlfn.BITAND(OCT2DEC(RIGHT(F15,3)),PDP8E!C$17),PDP8E!D$17,""),IF(_xlfn.BITAND(OCT2DEC(RIGHT(F15,3)),PDP8E!C$18),PDP8E!D$18,""),IF(_xlfn.BITAND(OCT2DEC(F15),14)=PDP8E!C$19,PDP8E!D$19,""),IF(_xlfn.BITAND(OCT2DEC(F15),14)=PDP8E!C$20,PDP8E!D$20,""),IF(_xlfn.BITAND(OCT2DEC(F15),14)=PDP8E!C$21,PDP8E!D$21,""),IF(_xlfn.BITAND(OCT2DEC(F15),14)=PDP8E!C$22,PDP8E!D$22,"")),"")</f>
        <v/>
      </c>
      <c r="Q15" s="90" t="str">
        <f>IF(AND(G15="OPR",H15=1),CONCATENATE(IF(_xlfn.BITAND(OCT2DEC(F15),120)=PDP8E!C$24,PDP8E!D$24,""),IF(_xlfn.BITAND(OCT2DEC(F15),120)=PDP8E!C$25,PDP8E!D$25,""),IF(_xlfn.BITAND(OCT2DEC(F15),120)=PDP8E!C$26,PDP8E!D$26,""),IF(_xlfn.BITAND(OCT2DEC(F15),120)=PDP8E!C$27,PDP8E!D$27,""),IF(_xlfn.BITAND(OCT2DEC(F15),120)=PDP8E!C$28,PDP8E!D$28,""),IF(_xlfn.BITAND(OCT2DEC(F15),120)=PDP8E!C$29,PDP8E!D$29,""),IF(_xlfn.BITAND(OCT2DEC(F15),120)=PDP8E!C$30,PDP8E!D$30,""),IF(_xlfn.BITAND(OCT2DEC(F15),PDP8E!C$31)=PDP8E!C$31,PDP8E!D$31,""),IF(_xlfn.BITAND(OCT2DEC(F15),PDP8E!C$32)=PDP8E!C$32,PDP8E!D$32,""),IF(_xlfn.BITAND(OCT2DEC(F15),PDP8E!C$33)=PDP8E!C$33,PDP8E!D$33,"")),"")</f>
        <v xml:space="preserve">SKP CLA </v>
      </c>
      <c r="R15" s="89" t="str">
        <f>IF(ISNA(MATCH($F15,Installed!$L$6:$L$225,0)),"",VLOOKUP($F15,Installed!$L$6:$N$225,2,0))</f>
        <v/>
      </c>
      <c r="S15" s="91" t="str">
        <f>IF(ISNA(MATCH($F15,Installed!$L$6:$L$225,0)),"",CONCATENATE(VLOOKUP($F15,Installed!$L$6:$O$225,4,0),": ",VLOOKUP($F15,Installed!$L$6:$O$225,3,0)))</f>
        <v/>
      </c>
      <c r="T15" s="184"/>
      <c r="U15" s="8"/>
    </row>
    <row r="16" spans="1:21" x14ac:dyDescent="0.2">
      <c r="A16" s="8"/>
      <c r="B16" s="187"/>
      <c r="C16" s="104" t="str">
        <f>IF(E16=M847E!$AW$18,"START",IF(ISNA(MATCH(RIGHT(E16,3),K$4:K$35,0)),"",CONCATENATE("LABEL",RIGHT(E16,2))))</f>
        <v/>
      </c>
      <c r="D16" s="82">
        <v>13</v>
      </c>
      <c r="E16" s="83" t="str">
        <f t="shared" si="2"/>
        <v>0040</v>
      </c>
      <c r="F16" s="84">
        <f>VALUE(HLOOKUP(D16,M847E!$B$5:$BN$12,8))</f>
        <v>5046</v>
      </c>
      <c r="G16" s="85" t="str">
        <f>VLOOKUP(VALUE(LEFT(F16,1)),PDP8E!$C$5:$D$12,2,FALSE)</f>
        <v>JMP</v>
      </c>
      <c r="H16" s="36">
        <f t="shared" si="3"/>
        <v>0</v>
      </c>
      <c r="I16" s="86">
        <f t="shared" si="4"/>
        <v>0</v>
      </c>
      <c r="J16" s="87"/>
      <c r="K16" s="88" t="str">
        <f t="shared" si="5"/>
        <v>046</v>
      </c>
      <c r="L16" s="76" t="str">
        <f>IF(LEN(K16)&lt;1,"",IF(K16=RIGHT(M847E!$AW$18,3),"START",CONCATENATE("LABEL",RIGHT(K16,2))))</f>
        <v>LABEL46</v>
      </c>
      <c r="M16" s="76" t="str">
        <f t="shared" si="6"/>
        <v>WAITS</v>
      </c>
      <c r="N16" s="82" t="str">
        <f t="shared" si="0"/>
        <v/>
      </c>
      <c r="O16" s="83" t="str">
        <f t="shared" si="1"/>
        <v/>
      </c>
      <c r="P16" s="89" t="str">
        <f>IF(AND(G16="OPR",H16=0),CONCATENATE(IF(_xlfn.BITAND(OCT2DEC(RIGHT(F16,3)),PDP8E!C$14),PDP8E!D$14,""),IF(_xlfn.BITAND(OCT2DEC(RIGHT(F16,3)),PDP8E!C$15),PDP8E!D$15,""),IF(_xlfn.BITAND(OCT2DEC(RIGHT(F16,3)),PDP8E!C$16),PDP8E!D$16,""),IF(_xlfn.BITAND(OCT2DEC(RIGHT(F16,3)),PDP8E!C$17),PDP8E!D$17,""),IF(_xlfn.BITAND(OCT2DEC(RIGHT(F16,3)),PDP8E!C$18),PDP8E!D$18,""),IF(_xlfn.BITAND(OCT2DEC(F16),14)=PDP8E!C$19,PDP8E!D$19,""),IF(_xlfn.BITAND(OCT2DEC(F16),14)=PDP8E!C$20,PDP8E!D$20,""),IF(_xlfn.BITAND(OCT2DEC(F16),14)=PDP8E!C$21,PDP8E!D$21,""),IF(_xlfn.BITAND(OCT2DEC(F16),14)=PDP8E!C$22,PDP8E!D$22,"")),"")</f>
        <v/>
      </c>
      <c r="Q16" s="90" t="str">
        <f>IF(AND(G16="OPR",H16=1),CONCATENATE(IF(_xlfn.BITAND(OCT2DEC(F16),120)=PDP8E!C$24,PDP8E!D$24,""),IF(_xlfn.BITAND(OCT2DEC(F16),120)=PDP8E!C$25,PDP8E!D$25,""),IF(_xlfn.BITAND(OCT2DEC(F16),120)=PDP8E!C$26,PDP8E!D$26,""),IF(_xlfn.BITAND(OCT2DEC(F16),120)=PDP8E!C$27,PDP8E!D$27,""),IF(_xlfn.BITAND(OCT2DEC(F16),120)=PDP8E!C$28,PDP8E!D$28,""),IF(_xlfn.BITAND(OCT2DEC(F16),120)=PDP8E!C$29,PDP8E!D$29,""),IF(_xlfn.BITAND(OCT2DEC(F16),120)=PDP8E!C$30,PDP8E!D$30,""),IF(_xlfn.BITAND(OCT2DEC(F16),PDP8E!C$31)=PDP8E!C$31,PDP8E!D$31,""),IF(_xlfn.BITAND(OCT2DEC(F16),PDP8E!C$32)=PDP8E!C$32,PDP8E!D$32,""),IF(_xlfn.BITAND(OCT2DEC(F16),PDP8E!C$33)=PDP8E!C$33,PDP8E!D$33,"")),"")</f>
        <v/>
      </c>
      <c r="R16" s="89" t="str">
        <f>IF(ISNA(MATCH($F16,Installed!$L$6:$L$225,0)),"",VLOOKUP($F16,Installed!$L$6:$N$225,2,0))</f>
        <v/>
      </c>
      <c r="S16" s="91" t="str">
        <f>IF(ISNA(MATCH($F16,Installed!$L$6:$L$225,0)),"",CONCATENATE(VLOOKUP($F16,Installed!$L$6:$O$225,4,0),": ",VLOOKUP($F16,Installed!$L$6:$O$225,3,0)))</f>
        <v/>
      </c>
      <c r="T16" s="184"/>
      <c r="U16" s="8"/>
    </row>
    <row r="17" spans="1:21" x14ac:dyDescent="0.2">
      <c r="A17" s="8"/>
      <c r="B17" s="187"/>
      <c r="C17" s="104" t="str">
        <f>IF(E17=M847E!$AW$18,"START",IF(ISNA(MATCH(RIGHT(E17,3),K$4:K$35,0)),"",CONCATENATE("LABEL",RIGHT(E17,2))))</f>
        <v/>
      </c>
      <c r="D17" s="82">
        <v>14</v>
      </c>
      <c r="E17" s="83" t="str">
        <f t="shared" si="2"/>
        <v>0041</v>
      </c>
      <c r="F17" s="84">
        <f>VALUE(HLOOKUP(D17,M847E!$B$5:$BN$12,8))</f>
        <v>1060</v>
      </c>
      <c r="G17" s="85" t="str">
        <f>VLOOKUP(VALUE(LEFT(F17,1)),PDP8E!$C$5:$D$12,2,FALSE)</f>
        <v>TAD</v>
      </c>
      <c r="H17" s="36">
        <f t="shared" si="3"/>
        <v>0</v>
      </c>
      <c r="I17" s="86">
        <f t="shared" si="4"/>
        <v>0</v>
      </c>
      <c r="J17" s="87"/>
      <c r="K17" s="88" t="str">
        <f t="shared" si="5"/>
        <v>060</v>
      </c>
      <c r="L17" s="76" t="str">
        <f>IF(LEN(K17)&lt;1,"",IF(K17=RIGHT(M847E!$AW$18,3),"START",CONCATENATE("LABEL",RIGHT(K17,2))))</f>
        <v>LABEL60</v>
      </c>
      <c r="M17" s="76" t="str">
        <f t="shared" si="6"/>
        <v>RX1SAV</v>
      </c>
      <c r="N17" s="82" t="str">
        <f t="shared" si="0"/>
        <v/>
      </c>
      <c r="O17" s="83" t="str">
        <f t="shared" si="1"/>
        <v/>
      </c>
      <c r="P17" s="89" t="str">
        <f>IF(AND(G17="OPR",H17=0),CONCATENATE(IF(_xlfn.BITAND(OCT2DEC(RIGHT(F17,3)),PDP8E!C$14),PDP8E!D$14,""),IF(_xlfn.BITAND(OCT2DEC(RIGHT(F17,3)),PDP8E!C$15),PDP8E!D$15,""),IF(_xlfn.BITAND(OCT2DEC(RIGHT(F17,3)),PDP8E!C$16),PDP8E!D$16,""),IF(_xlfn.BITAND(OCT2DEC(RIGHT(F17,3)),PDP8E!C$17),PDP8E!D$17,""),IF(_xlfn.BITAND(OCT2DEC(RIGHT(F17,3)),PDP8E!C$18),PDP8E!D$18,""),IF(_xlfn.BITAND(OCT2DEC(F17),14)=PDP8E!C$19,PDP8E!D$19,""),IF(_xlfn.BITAND(OCT2DEC(F17),14)=PDP8E!C$20,PDP8E!D$20,""),IF(_xlfn.BITAND(OCT2DEC(F17),14)=PDP8E!C$21,PDP8E!D$21,""),IF(_xlfn.BITAND(OCT2DEC(F17),14)=PDP8E!C$22,PDP8E!D$22,"")),"")</f>
        <v/>
      </c>
      <c r="Q17" s="90" t="str">
        <f>IF(AND(G17="OPR",H17=1),CONCATENATE(IF(_xlfn.BITAND(OCT2DEC(F17),120)=PDP8E!C$24,PDP8E!D$24,""),IF(_xlfn.BITAND(OCT2DEC(F17),120)=PDP8E!C$25,PDP8E!D$25,""),IF(_xlfn.BITAND(OCT2DEC(F17),120)=PDP8E!C$26,PDP8E!D$26,""),IF(_xlfn.BITAND(OCT2DEC(F17),120)=PDP8E!C$27,PDP8E!D$27,""),IF(_xlfn.BITAND(OCT2DEC(F17),120)=PDP8E!C$28,PDP8E!D$28,""),IF(_xlfn.BITAND(OCT2DEC(F17),120)=PDP8E!C$29,PDP8E!D$29,""),IF(_xlfn.BITAND(OCT2DEC(F17),120)=PDP8E!C$30,PDP8E!D$30,""),IF(_xlfn.BITAND(OCT2DEC(F17),PDP8E!C$31)=PDP8E!C$31,PDP8E!D$31,""),IF(_xlfn.BITAND(OCT2DEC(F17),PDP8E!C$32)=PDP8E!C$32,PDP8E!D$32,""),IF(_xlfn.BITAND(OCT2DEC(F17),PDP8E!C$33)=PDP8E!C$33,PDP8E!D$33,"")),"")</f>
        <v/>
      </c>
      <c r="R17" s="89" t="str">
        <f>IF(ISNA(MATCH($F17,Installed!$L$6:$L$225,0)),"",VLOOKUP($F17,Installed!$L$6:$N$225,2,0))</f>
        <v/>
      </c>
      <c r="S17" s="91" t="str">
        <f>IF(ISNA(MATCH($F17,Installed!$L$6:$L$225,0)),"",CONCATENATE(VLOOKUP($F17,Installed!$L$6:$O$225,4,0),": ",VLOOKUP($F17,Installed!$L$6:$O$225,3,0)))</f>
        <v/>
      </c>
      <c r="T17" s="184"/>
      <c r="U17" s="8"/>
    </row>
    <row r="18" spans="1:21" x14ac:dyDescent="0.2">
      <c r="A18" s="8"/>
      <c r="B18" s="187"/>
      <c r="C18" s="104" t="str">
        <f>IF(E18=M847E!$AW$18,"START",IF(ISNA(MATCH(RIGHT(E18,3),K$4:K$35,0)),"",CONCATENATE("LABEL",RIGHT(E18,2))))</f>
        <v/>
      </c>
      <c r="D18" s="82">
        <v>15</v>
      </c>
      <c r="E18" s="83" t="str">
        <f t="shared" si="2"/>
        <v>0042</v>
      </c>
      <c r="F18" s="84">
        <f>VALUE(HLOOKUP(D18,M847E!$B$5:$BN$12,8))</f>
        <v>7041</v>
      </c>
      <c r="G18" s="85" t="str">
        <f>VLOOKUP(VALUE(LEFT(F18,1)),PDP8E!$C$5:$D$12,2,FALSE)</f>
        <v>OPR</v>
      </c>
      <c r="H18" s="36">
        <f t="shared" si="3"/>
        <v>0</v>
      </c>
      <c r="I18" s="86" t="str">
        <f t="shared" si="4"/>
        <v/>
      </c>
      <c r="J18" s="87"/>
      <c r="K18" s="88" t="str">
        <f t="shared" si="5"/>
        <v/>
      </c>
      <c r="L18" s="76" t="str">
        <f>IF(LEN(K18)&lt;1,"",IF(K18=RIGHT(M847E!$AW$18,3),"START",CONCATENATE("LABEL",RIGHT(K18,2))))</f>
        <v/>
      </c>
      <c r="M18" s="76" t="str">
        <f t="shared" si="6"/>
        <v/>
      </c>
      <c r="N18" s="82" t="str">
        <f t="shared" si="0"/>
        <v/>
      </c>
      <c r="O18" s="83" t="str">
        <f t="shared" si="1"/>
        <v/>
      </c>
      <c r="P18" s="89" t="str">
        <f>IF(AND(G18="OPR",H18=0),CONCATENATE(IF(_xlfn.BITAND(OCT2DEC(RIGHT(F18,3)),PDP8E!C$14),PDP8E!D$14,""),IF(_xlfn.BITAND(OCT2DEC(RIGHT(F18,3)),PDP8E!C$15),PDP8E!D$15,""),IF(_xlfn.BITAND(OCT2DEC(RIGHT(F18,3)),PDP8E!C$16),PDP8E!D$16,""),IF(_xlfn.BITAND(OCT2DEC(RIGHT(F18,3)),PDP8E!C$17),PDP8E!D$17,""),IF(_xlfn.BITAND(OCT2DEC(RIGHT(F18,3)),PDP8E!C$18),PDP8E!D$18,""),IF(_xlfn.BITAND(OCT2DEC(F18),14)=PDP8E!C$19,PDP8E!D$19,""),IF(_xlfn.BITAND(OCT2DEC(F18),14)=PDP8E!C$20,PDP8E!D$20,""),IF(_xlfn.BITAND(OCT2DEC(F18),14)=PDP8E!C$21,PDP8E!D$21,""),IF(_xlfn.BITAND(OCT2DEC(F18),14)=PDP8E!C$22,PDP8E!D$22,"")),"")</f>
        <v xml:space="preserve">CMA IAC </v>
      </c>
      <c r="Q18" s="90" t="str">
        <f>IF(AND(G18="OPR",H18=1),CONCATENATE(IF(_xlfn.BITAND(OCT2DEC(F18),120)=PDP8E!C$24,PDP8E!D$24,""),IF(_xlfn.BITAND(OCT2DEC(F18),120)=PDP8E!C$25,PDP8E!D$25,""),IF(_xlfn.BITAND(OCT2DEC(F18),120)=PDP8E!C$26,PDP8E!D$26,""),IF(_xlfn.BITAND(OCT2DEC(F18),120)=PDP8E!C$27,PDP8E!D$27,""),IF(_xlfn.BITAND(OCT2DEC(F18),120)=PDP8E!C$28,PDP8E!D$28,""),IF(_xlfn.BITAND(OCT2DEC(F18),120)=PDP8E!C$29,PDP8E!D$29,""),IF(_xlfn.BITAND(OCT2DEC(F18),120)=PDP8E!C$30,PDP8E!D$30,""),IF(_xlfn.BITAND(OCT2DEC(F18),PDP8E!C$31)=PDP8E!C$31,PDP8E!D$31,""),IF(_xlfn.BITAND(OCT2DEC(F18),PDP8E!C$32)=PDP8E!C$32,PDP8E!D$32,""),IF(_xlfn.BITAND(OCT2DEC(F18),PDP8E!C$33)=PDP8E!C$33,PDP8E!D$33,"")),"")</f>
        <v/>
      </c>
      <c r="R18" s="89" t="str">
        <f>IF(ISNA(MATCH($F18,Installed!$L$6:$L$225,0)),"",VLOOKUP($F18,Installed!$L$6:$N$225,2,0))</f>
        <v/>
      </c>
      <c r="S18" s="91" t="str">
        <f>IF(ISNA(MATCH($F18,Installed!$L$6:$L$225,0)),"",CONCATENATE(VLOOKUP($F18,Installed!$L$6:$O$225,4,0),": ",VLOOKUP($F18,Installed!$L$6:$O$225,3,0)))</f>
        <v/>
      </c>
      <c r="T18" s="184" t="s">
        <v>98</v>
      </c>
      <c r="U18" s="8"/>
    </row>
    <row r="19" spans="1:21" x14ac:dyDescent="0.2">
      <c r="A19" s="8"/>
      <c r="B19" s="187"/>
      <c r="C19" s="104" t="str">
        <f>IF(E19=M847E!$AW$18,"START",IF(ISNA(MATCH(RIGHT(E19,3),K$4:K$35,0)),"",CONCATENATE("LABEL",RIGHT(E19,2))))</f>
        <v/>
      </c>
      <c r="D19" s="82">
        <v>16</v>
      </c>
      <c r="E19" s="83" t="str">
        <f t="shared" si="2"/>
        <v>0043</v>
      </c>
      <c r="F19" s="84">
        <f>VALUE(HLOOKUP(D19,M847E!$B$5:$BN$12,8))</f>
        <v>1061</v>
      </c>
      <c r="G19" s="85" t="str">
        <f>VLOOKUP(VALUE(LEFT(F19,1)),PDP8E!$C$5:$D$12,2,FALSE)</f>
        <v>TAD</v>
      </c>
      <c r="H19" s="36">
        <f t="shared" si="3"/>
        <v>0</v>
      </c>
      <c r="I19" s="86">
        <f t="shared" si="4"/>
        <v>0</v>
      </c>
      <c r="J19" s="87"/>
      <c r="K19" s="88" t="str">
        <f t="shared" si="5"/>
        <v>061</v>
      </c>
      <c r="L19" s="76" t="str">
        <f>IF(LEN(K19)&lt;1,"",IF(K19=RIGHT(M847E!$AW$18,3),"START",CONCATENATE("LABEL",RIGHT(K19,2))))</f>
        <v>LABEL61</v>
      </c>
      <c r="M19" s="76" t="str">
        <f t="shared" si="6"/>
        <v>UNIT</v>
      </c>
      <c r="N19" s="82" t="str">
        <f t="shared" si="0"/>
        <v/>
      </c>
      <c r="O19" s="83" t="str">
        <f t="shared" si="1"/>
        <v/>
      </c>
      <c r="P19" s="89" t="str">
        <f>IF(AND(G19="OPR",H19=0),CONCATENATE(IF(_xlfn.BITAND(OCT2DEC(RIGHT(F19,3)),PDP8E!C$14),PDP8E!D$14,""),IF(_xlfn.BITAND(OCT2DEC(RIGHT(F19,3)),PDP8E!C$15),PDP8E!D$15,""),IF(_xlfn.BITAND(OCT2DEC(RIGHT(F19,3)),PDP8E!C$16),PDP8E!D$16,""),IF(_xlfn.BITAND(OCT2DEC(RIGHT(F19,3)),PDP8E!C$17),PDP8E!D$17,""),IF(_xlfn.BITAND(OCT2DEC(RIGHT(F19,3)),PDP8E!C$18),PDP8E!D$18,""),IF(_xlfn.BITAND(OCT2DEC(F19),14)=PDP8E!C$19,PDP8E!D$19,""),IF(_xlfn.BITAND(OCT2DEC(F19),14)=PDP8E!C$20,PDP8E!D$20,""),IF(_xlfn.BITAND(OCT2DEC(F19),14)=PDP8E!C$21,PDP8E!D$21,""),IF(_xlfn.BITAND(OCT2DEC(F19),14)=PDP8E!C$22,PDP8E!D$22,"")),"")</f>
        <v/>
      </c>
      <c r="Q19" s="90" t="str">
        <f>IF(AND(G19="OPR",H19=1),CONCATENATE(IF(_xlfn.BITAND(OCT2DEC(F19),120)=PDP8E!C$24,PDP8E!D$24,""),IF(_xlfn.BITAND(OCT2DEC(F19),120)=PDP8E!C$25,PDP8E!D$25,""),IF(_xlfn.BITAND(OCT2DEC(F19),120)=PDP8E!C$26,PDP8E!D$26,""),IF(_xlfn.BITAND(OCT2DEC(F19),120)=PDP8E!C$27,PDP8E!D$27,""),IF(_xlfn.BITAND(OCT2DEC(F19),120)=PDP8E!C$28,PDP8E!D$28,""),IF(_xlfn.BITAND(OCT2DEC(F19),120)=PDP8E!C$29,PDP8E!D$29,""),IF(_xlfn.BITAND(OCT2DEC(F19),120)=PDP8E!C$30,PDP8E!D$30,""),IF(_xlfn.BITAND(OCT2DEC(F19),PDP8E!C$31)=PDP8E!C$31,PDP8E!D$31,""),IF(_xlfn.BITAND(OCT2DEC(F19),PDP8E!C$32)=PDP8E!C$32,PDP8E!D$32,""),IF(_xlfn.BITAND(OCT2DEC(F19),PDP8E!C$33)=PDP8E!C$33,PDP8E!D$33,"")),"")</f>
        <v/>
      </c>
      <c r="R19" s="89" t="str">
        <f>IF(ISNA(MATCH($F19,Installed!$L$6:$L$225,0)),"",VLOOKUP($F19,Installed!$L$6:$N$225,2,0))</f>
        <v/>
      </c>
      <c r="S19" s="91" t="str">
        <f>IF(ISNA(MATCH($F19,Installed!$L$6:$L$225,0)),"",CONCATENATE(VLOOKUP($F19,Installed!$L$6:$O$225,4,0),": ",VLOOKUP($F19,Installed!$L$6:$O$225,3,0)))</f>
        <v/>
      </c>
      <c r="T19" s="184"/>
      <c r="U19" s="8"/>
    </row>
    <row r="20" spans="1:21" x14ac:dyDescent="0.2">
      <c r="A20" s="8"/>
      <c r="B20" s="187"/>
      <c r="C20" s="104" t="str">
        <f>IF(E20=M847E!$AW$18,"START",IF(ISNA(MATCH(RIGHT(E20,3),K$4:K$35,0)),"",CONCATENATE("LABEL",RIGHT(E20,2))))</f>
        <v/>
      </c>
      <c r="D20" s="82">
        <v>17</v>
      </c>
      <c r="E20" s="83" t="str">
        <f t="shared" si="2"/>
        <v>0044</v>
      </c>
      <c r="F20" s="84">
        <f>VALUE(HLOOKUP(D20,M847E!$B$5:$BN$12,8))</f>
        <v>3060</v>
      </c>
      <c r="G20" s="85" t="str">
        <f>VLOOKUP(VALUE(LEFT(F20,1)),PDP8E!$C$5:$D$12,2,FALSE)</f>
        <v>DCA</v>
      </c>
      <c r="H20" s="36">
        <f t="shared" si="3"/>
        <v>0</v>
      </c>
      <c r="I20" s="86">
        <f t="shared" si="4"/>
        <v>0</v>
      </c>
      <c r="J20" s="87"/>
      <c r="K20" s="88" t="str">
        <f t="shared" si="5"/>
        <v>060</v>
      </c>
      <c r="L20" s="76" t="str">
        <f>IF(LEN(K20)&lt;1,"",IF(K20=RIGHT(M847E!$AW$18,3),"START",CONCATENATE("LABEL",RIGHT(K20,2))))</f>
        <v>LABEL60</v>
      </c>
      <c r="M20" s="76" t="str">
        <f t="shared" si="6"/>
        <v>RX1SAV</v>
      </c>
      <c r="N20" s="82" t="str">
        <f t="shared" si="0"/>
        <v/>
      </c>
      <c r="O20" s="83" t="str">
        <f t="shared" si="1"/>
        <v/>
      </c>
      <c r="P20" s="89" t="str">
        <f>IF(AND(G20="OPR",H20=0),CONCATENATE(IF(_xlfn.BITAND(OCT2DEC(RIGHT(F20,3)),PDP8E!C$14),PDP8E!D$14,""),IF(_xlfn.BITAND(OCT2DEC(RIGHT(F20,3)),PDP8E!C$15),PDP8E!D$15,""),IF(_xlfn.BITAND(OCT2DEC(RIGHT(F20,3)),PDP8E!C$16),PDP8E!D$16,""),IF(_xlfn.BITAND(OCT2DEC(RIGHT(F20,3)),PDP8E!C$17),PDP8E!D$17,""),IF(_xlfn.BITAND(OCT2DEC(RIGHT(F20,3)),PDP8E!C$18),PDP8E!D$18,""),IF(_xlfn.BITAND(OCT2DEC(F20),14)=PDP8E!C$19,PDP8E!D$19,""),IF(_xlfn.BITAND(OCT2DEC(F20),14)=PDP8E!C$20,PDP8E!D$20,""),IF(_xlfn.BITAND(OCT2DEC(F20),14)=PDP8E!C$21,PDP8E!D$21,""),IF(_xlfn.BITAND(OCT2DEC(F20),14)=PDP8E!C$22,PDP8E!D$22,"")),"")</f>
        <v/>
      </c>
      <c r="Q20" s="90" t="str">
        <f>IF(AND(G20="OPR",H20=1),CONCATENATE(IF(_xlfn.BITAND(OCT2DEC(F20),120)=PDP8E!C$24,PDP8E!D$24,""),IF(_xlfn.BITAND(OCT2DEC(F20),120)=PDP8E!C$25,PDP8E!D$25,""),IF(_xlfn.BITAND(OCT2DEC(F20),120)=PDP8E!C$26,PDP8E!D$26,""),IF(_xlfn.BITAND(OCT2DEC(F20),120)=PDP8E!C$27,PDP8E!D$27,""),IF(_xlfn.BITAND(OCT2DEC(F20),120)=PDP8E!C$28,PDP8E!D$28,""),IF(_xlfn.BITAND(OCT2DEC(F20),120)=PDP8E!C$29,PDP8E!D$29,""),IF(_xlfn.BITAND(OCT2DEC(F20),120)=PDP8E!C$30,PDP8E!D$30,""),IF(_xlfn.BITAND(OCT2DEC(F20),PDP8E!C$31)=PDP8E!C$31,PDP8E!D$31,""),IF(_xlfn.BITAND(OCT2DEC(F20),PDP8E!C$32)=PDP8E!C$32,PDP8E!D$32,""),IF(_xlfn.BITAND(OCT2DEC(F20),PDP8E!C$33)=PDP8E!C$33,PDP8E!D$33,"")),"")</f>
        <v/>
      </c>
      <c r="R20" s="89" t="str">
        <f>IF(ISNA(MATCH($F20,Installed!$L$6:$L$225,0)),"",VLOOKUP($F20,Installed!$L$6:$N$225,2,0))</f>
        <v/>
      </c>
      <c r="S20" s="91" t="str">
        <f>IF(ISNA(MATCH($F20,Installed!$L$6:$L$225,0)),"",CONCATENATE(VLOOKUP($F20,Installed!$L$6:$O$225,4,0),": ",VLOOKUP($F20,Installed!$L$6:$O$225,3,0)))</f>
        <v/>
      </c>
      <c r="T20" s="184"/>
      <c r="U20" s="8"/>
    </row>
    <row r="21" spans="1:21" x14ac:dyDescent="0.2">
      <c r="A21" s="8"/>
      <c r="B21" s="187"/>
      <c r="C21" s="104" t="str">
        <f>IF(E21=M847E!$AW$18,"START",IF(ISNA(MATCH(RIGHT(E21,3),K$4:K$35,0)),"",CONCATENATE("LABEL",RIGHT(E21,2))))</f>
        <v/>
      </c>
      <c r="D21" s="82">
        <v>18</v>
      </c>
      <c r="E21" s="83" t="str">
        <f t="shared" si="2"/>
        <v>0045</v>
      </c>
      <c r="F21" s="84">
        <f>VALUE(HLOOKUP(D21,M847E!$B$5:$BN$12,8))</f>
        <v>5024</v>
      </c>
      <c r="G21" s="85" t="str">
        <f>VLOOKUP(VALUE(LEFT(F21,1)),PDP8E!$C$5:$D$12,2,FALSE)</f>
        <v>JMP</v>
      </c>
      <c r="H21" s="36">
        <f t="shared" si="3"/>
        <v>0</v>
      </c>
      <c r="I21" s="86">
        <f t="shared" si="4"/>
        <v>0</v>
      </c>
      <c r="J21" s="87"/>
      <c r="K21" s="88" t="str">
        <f t="shared" si="5"/>
        <v>024</v>
      </c>
      <c r="L21" s="76" t="str">
        <f>IF(LEN(K21)&lt;1,"",IF(K21=RIGHT(M847E!$AW$18,3),"START",CONCATENATE("LABEL",RIGHT(K21,2))))</f>
        <v>LABEL24</v>
      </c>
      <c r="M21" s="76" t="str">
        <f t="shared" si="6"/>
        <v>READ</v>
      </c>
      <c r="N21" s="82" t="str">
        <f t="shared" si="0"/>
        <v/>
      </c>
      <c r="O21" s="83" t="str">
        <f t="shared" si="1"/>
        <v/>
      </c>
      <c r="P21" s="89" t="str">
        <f>IF(AND(G21="OPR",H21=0),CONCATENATE(IF(_xlfn.BITAND(OCT2DEC(RIGHT(F21,3)),PDP8E!C$14),PDP8E!D$14,""),IF(_xlfn.BITAND(OCT2DEC(RIGHT(F21,3)),PDP8E!C$15),PDP8E!D$15,""),IF(_xlfn.BITAND(OCT2DEC(RIGHT(F21,3)),PDP8E!C$16),PDP8E!D$16,""),IF(_xlfn.BITAND(OCT2DEC(RIGHT(F21,3)),PDP8E!C$17),PDP8E!D$17,""),IF(_xlfn.BITAND(OCT2DEC(RIGHT(F21,3)),PDP8E!C$18),PDP8E!D$18,""),IF(_xlfn.BITAND(OCT2DEC(F21),14)=PDP8E!C$19,PDP8E!D$19,""),IF(_xlfn.BITAND(OCT2DEC(F21),14)=PDP8E!C$20,PDP8E!D$20,""),IF(_xlfn.BITAND(OCT2DEC(F21),14)=PDP8E!C$21,PDP8E!D$21,""),IF(_xlfn.BITAND(OCT2DEC(F21),14)=PDP8E!C$22,PDP8E!D$22,"")),"")</f>
        <v/>
      </c>
      <c r="Q21" s="90" t="str">
        <f>IF(AND(G21="OPR",H21=1),CONCATENATE(IF(_xlfn.BITAND(OCT2DEC(F21),120)=PDP8E!C$24,PDP8E!D$24,""),IF(_xlfn.BITAND(OCT2DEC(F21),120)=PDP8E!C$25,PDP8E!D$25,""),IF(_xlfn.BITAND(OCT2DEC(F21),120)=PDP8E!C$26,PDP8E!D$26,""),IF(_xlfn.BITAND(OCT2DEC(F21),120)=PDP8E!C$27,PDP8E!D$27,""),IF(_xlfn.BITAND(OCT2DEC(F21),120)=PDP8E!C$28,PDP8E!D$28,""),IF(_xlfn.BITAND(OCT2DEC(F21),120)=PDP8E!C$29,PDP8E!D$29,""),IF(_xlfn.BITAND(OCT2DEC(F21),120)=PDP8E!C$30,PDP8E!D$30,""),IF(_xlfn.BITAND(OCT2DEC(F21),PDP8E!C$31)=PDP8E!C$31,PDP8E!D$31,""),IF(_xlfn.BITAND(OCT2DEC(F21),PDP8E!C$32)=PDP8E!C$32,PDP8E!D$32,""),IF(_xlfn.BITAND(OCT2DEC(F21),PDP8E!C$33)=PDP8E!C$33,PDP8E!D$33,"")),"")</f>
        <v/>
      </c>
      <c r="R21" s="89" t="str">
        <f>IF(ISNA(MATCH($F21,Installed!$L$6:$L$225,0)),"",VLOOKUP($F21,Installed!$L$6:$N$225,2,0))</f>
        <v/>
      </c>
      <c r="S21" s="91" t="str">
        <f>IF(ISNA(MATCH($F21,Installed!$L$6:$L$225,0)),"",CONCATENATE(VLOOKUP($F21,Installed!$L$6:$O$225,4,0),": ",VLOOKUP($F21,Installed!$L$6:$O$225,3,0)))</f>
        <v/>
      </c>
      <c r="T21" s="184"/>
      <c r="U21" s="8"/>
    </row>
    <row r="22" spans="1:21" x14ac:dyDescent="0.2">
      <c r="A22" s="8"/>
      <c r="B22" s="187" t="s">
        <v>808</v>
      </c>
      <c r="C22" s="104" t="str">
        <f>IF(E22=M847E!$AW$18,"START",IF(ISNA(MATCH(RIGHT(E22,3),K$4:K$35,0)),"",CONCATENATE("LABEL",RIGHT(E22,2))))</f>
        <v>LABEL46</v>
      </c>
      <c r="D22" s="82">
        <v>19</v>
      </c>
      <c r="E22" s="83" t="str">
        <f t="shared" si="2"/>
        <v>0046</v>
      </c>
      <c r="F22" s="84">
        <f>VALUE(HLOOKUP(D22,M847E!$B$5:$BN$12,8))</f>
        <v>6751</v>
      </c>
      <c r="G22" s="85" t="str">
        <f>VLOOKUP(VALUE(LEFT(F22,1)),PDP8E!$C$5:$D$12,2,FALSE)</f>
        <v>IOT</v>
      </c>
      <c r="H22" s="36" t="str">
        <f t="shared" si="3"/>
        <v/>
      </c>
      <c r="I22" s="86" t="str">
        <f t="shared" si="4"/>
        <v/>
      </c>
      <c r="J22" s="87"/>
      <c r="K22" s="88" t="str">
        <f t="shared" si="5"/>
        <v/>
      </c>
      <c r="L22" s="76" t="str">
        <f>IF(LEN(K22)&lt;1,"",IF(K22=RIGHT(M847E!$AW$18,3),"START",CONCATENATE("LABEL",RIGHT(K22,2))))</f>
        <v/>
      </c>
      <c r="M22" s="76" t="str">
        <f t="shared" si="6"/>
        <v/>
      </c>
      <c r="N22" s="82" t="str">
        <f t="shared" si="0"/>
        <v>75</v>
      </c>
      <c r="O22" s="83" t="str">
        <f t="shared" si="1"/>
        <v>1</v>
      </c>
      <c r="P22" s="89" t="str">
        <f>IF(AND(G22="OPR",H22=0),CONCATENATE(IF(_xlfn.BITAND(OCT2DEC(RIGHT(F22,3)),PDP8E!C$14),PDP8E!D$14,""),IF(_xlfn.BITAND(OCT2DEC(RIGHT(F22,3)),PDP8E!C$15),PDP8E!D$15,""),IF(_xlfn.BITAND(OCT2DEC(RIGHT(F22,3)),PDP8E!C$16),PDP8E!D$16,""),IF(_xlfn.BITAND(OCT2DEC(RIGHT(F22,3)),PDP8E!C$17),PDP8E!D$17,""),IF(_xlfn.BITAND(OCT2DEC(RIGHT(F22,3)),PDP8E!C$18),PDP8E!D$18,""),IF(_xlfn.BITAND(OCT2DEC(F22),14)=PDP8E!C$19,PDP8E!D$19,""),IF(_xlfn.BITAND(OCT2DEC(F22),14)=PDP8E!C$20,PDP8E!D$20,""),IF(_xlfn.BITAND(OCT2DEC(F22),14)=PDP8E!C$21,PDP8E!D$21,""),IF(_xlfn.BITAND(OCT2DEC(F22),14)=PDP8E!C$22,PDP8E!D$22,"")),"")</f>
        <v/>
      </c>
      <c r="Q22" s="90" t="str">
        <f>IF(AND(G22="OPR",H22=1),CONCATENATE(IF(_xlfn.BITAND(OCT2DEC(F22),120)=PDP8E!C$24,PDP8E!D$24,""),IF(_xlfn.BITAND(OCT2DEC(F22),120)=PDP8E!C$25,PDP8E!D$25,""),IF(_xlfn.BITAND(OCT2DEC(F22),120)=PDP8E!C$26,PDP8E!D$26,""),IF(_xlfn.BITAND(OCT2DEC(F22),120)=PDP8E!C$27,PDP8E!D$27,""),IF(_xlfn.BITAND(OCT2DEC(F22),120)=PDP8E!C$28,PDP8E!D$28,""),IF(_xlfn.BITAND(OCT2DEC(F22),120)=PDP8E!C$29,PDP8E!D$29,""),IF(_xlfn.BITAND(OCT2DEC(F22),120)=PDP8E!C$30,PDP8E!D$30,""),IF(_xlfn.BITAND(OCT2DEC(F22),PDP8E!C$31)=PDP8E!C$31,PDP8E!D$31,""),IF(_xlfn.BITAND(OCT2DEC(F22),PDP8E!C$32)=PDP8E!C$32,PDP8E!D$32,""),IF(_xlfn.BITAND(OCT2DEC(F22),PDP8E!C$33)=PDP8E!C$33,PDP8E!D$33,"")),"")</f>
        <v/>
      </c>
      <c r="R22" s="89" t="str">
        <f>IF(ISNA(MATCH($F22,Installed!$L$6:$L$225,0)),"",VLOOKUP($F22,Installed!$L$6:$N$225,2,0))</f>
        <v>LCD</v>
      </c>
      <c r="S22" s="91" t="str">
        <f>IF(ISNA(MATCH($F22,Installed!$L$6:$L$225,0)),"",CONCATENATE(VLOOKUP($F22,Installed!$L$6:$O$225,4,0),": ",VLOOKUP($F22,Installed!$L$6:$O$225,3,0)))</f>
        <v>RX28: Load Command, Clear AC</v>
      </c>
      <c r="T22" s="184"/>
      <c r="U22" s="8"/>
    </row>
    <row r="23" spans="1:21" x14ac:dyDescent="0.2">
      <c r="A23" s="8"/>
      <c r="B23" s="187" t="s">
        <v>809</v>
      </c>
      <c r="C23" s="104" t="str">
        <f>IF(E23=M847E!$AW$18,"START",IF(ISNA(MATCH(RIGHT(E23,3),K$4:K$35,0)),"",CONCATENATE("LABEL",RIGHT(E23,2))))</f>
        <v>LABEL47</v>
      </c>
      <c r="D23" s="82">
        <v>20</v>
      </c>
      <c r="E23" s="83" t="str">
        <f t="shared" si="2"/>
        <v>0047</v>
      </c>
      <c r="F23" s="84">
        <f>VALUE(HLOOKUP(D23,M847E!$B$5:$BN$12,8))</f>
        <v>4053</v>
      </c>
      <c r="G23" s="85" t="str">
        <f>VLOOKUP(VALUE(LEFT(F23,1)),PDP8E!$C$5:$D$12,2,FALSE)</f>
        <v>JMS</v>
      </c>
      <c r="H23" s="36">
        <f t="shared" si="3"/>
        <v>0</v>
      </c>
      <c r="I23" s="86">
        <f t="shared" si="4"/>
        <v>0</v>
      </c>
      <c r="J23" s="87"/>
      <c r="K23" s="88" t="str">
        <f t="shared" si="5"/>
        <v>053</v>
      </c>
      <c r="L23" s="76" t="str">
        <f>IF(LEN(K23)&lt;1,"",IF(K23=RIGHT(M847E!$AW$18,3),"START",CONCATENATE("LABEL",RIGHT(K23,2))))</f>
        <v>LABEL53</v>
      </c>
      <c r="M23" s="76" t="str">
        <f t="shared" si="6"/>
        <v>LOAD</v>
      </c>
      <c r="N23" s="82" t="str">
        <f t="shared" si="0"/>
        <v/>
      </c>
      <c r="O23" s="83" t="str">
        <f t="shared" si="1"/>
        <v/>
      </c>
      <c r="P23" s="89" t="str">
        <f>IF(AND(G23="OPR",H23=0),CONCATENATE(IF(_xlfn.BITAND(OCT2DEC(RIGHT(F23,3)),PDP8E!C$14),PDP8E!D$14,""),IF(_xlfn.BITAND(OCT2DEC(RIGHT(F23,3)),PDP8E!C$15),PDP8E!D$15,""),IF(_xlfn.BITAND(OCT2DEC(RIGHT(F23,3)),PDP8E!C$16),PDP8E!D$16,""),IF(_xlfn.BITAND(OCT2DEC(RIGHT(F23,3)),PDP8E!C$17),PDP8E!D$17,""),IF(_xlfn.BITAND(OCT2DEC(RIGHT(F23,3)),PDP8E!C$18),PDP8E!D$18,""),IF(_xlfn.BITAND(OCT2DEC(F23),14)=PDP8E!C$19,PDP8E!D$19,""),IF(_xlfn.BITAND(OCT2DEC(F23),14)=PDP8E!C$20,PDP8E!D$20,""),IF(_xlfn.BITAND(OCT2DEC(F23),14)=PDP8E!C$21,PDP8E!D$21,""),IF(_xlfn.BITAND(OCT2DEC(F23),14)=PDP8E!C$22,PDP8E!D$22,"")),"")</f>
        <v/>
      </c>
      <c r="Q23" s="90" t="str">
        <f>IF(AND(G23="OPR",H23=1),CONCATENATE(IF(_xlfn.BITAND(OCT2DEC(F23),120)=PDP8E!C$24,PDP8E!D$24,""),IF(_xlfn.BITAND(OCT2DEC(F23),120)=PDP8E!C$25,PDP8E!D$25,""),IF(_xlfn.BITAND(OCT2DEC(F23),120)=PDP8E!C$26,PDP8E!D$26,""),IF(_xlfn.BITAND(OCT2DEC(F23),120)=PDP8E!C$27,PDP8E!D$27,""),IF(_xlfn.BITAND(OCT2DEC(F23),120)=PDP8E!C$28,PDP8E!D$28,""),IF(_xlfn.BITAND(OCT2DEC(F23),120)=PDP8E!C$29,PDP8E!D$29,""),IF(_xlfn.BITAND(OCT2DEC(F23),120)=PDP8E!C$30,PDP8E!D$30,""),IF(_xlfn.BITAND(OCT2DEC(F23),PDP8E!C$31)=PDP8E!C$31,PDP8E!D$31,""),IF(_xlfn.BITAND(OCT2DEC(F23),PDP8E!C$32)=PDP8E!C$32,PDP8E!D$32,""),IF(_xlfn.BITAND(OCT2DEC(F23),PDP8E!C$33)=PDP8E!C$33,PDP8E!D$33,"")),"")</f>
        <v/>
      </c>
      <c r="R23" s="89" t="str">
        <f>IF(ISNA(MATCH($F23,Installed!$L$6:$L$225,0)),"",VLOOKUP($F23,Installed!$L$6:$N$225,2,0))</f>
        <v/>
      </c>
      <c r="S23" s="91" t="str">
        <f>IF(ISNA(MATCH($F23,Installed!$L$6:$L$225,0)),"",CONCATENATE(VLOOKUP($F23,Installed!$L$6:$O$225,4,0),": ",VLOOKUP($F23,Installed!$L$6:$O$225,3,0)))</f>
        <v/>
      </c>
      <c r="T23" s="184" t="s">
        <v>814</v>
      </c>
      <c r="U23" s="8"/>
    </row>
    <row r="24" spans="1:21" x14ac:dyDescent="0.2">
      <c r="A24" s="8"/>
      <c r="B24" s="187" t="s">
        <v>810</v>
      </c>
      <c r="C24" s="104" t="str">
        <f>IF(E24=M847E!$AW$18,"START",IF(ISNA(MATCH(RIGHT(E24,3),K$4:K$35,0)),"",CONCATENATE("LABEL",RIGHT(E24,2))))</f>
        <v>LABEL50</v>
      </c>
      <c r="D24" s="82">
        <v>21</v>
      </c>
      <c r="E24" s="83" t="str">
        <f t="shared" si="2"/>
        <v>0050</v>
      </c>
      <c r="F24" s="84">
        <f>VALUE(HLOOKUP(D24,M847E!$B$5:$BN$12,8))</f>
        <v>3002</v>
      </c>
      <c r="G24" s="85" t="str">
        <f>VLOOKUP(VALUE(LEFT(F24,1)),PDP8E!$C$5:$D$12,2,FALSE)</f>
        <v>DCA</v>
      </c>
      <c r="H24" s="36">
        <f t="shared" si="3"/>
        <v>0</v>
      </c>
      <c r="I24" s="86">
        <f t="shared" si="4"/>
        <v>0</v>
      </c>
      <c r="J24" s="87"/>
      <c r="K24" s="88" t="str">
        <f t="shared" si="5"/>
        <v>002</v>
      </c>
      <c r="L24" s="76" t="str">
        <f>IF(LEN(K24)&lt;1,"",IF(K24=RIGHT(M847E!$AW$18,3),"START",CONCATENATE("LABEL",RIGHT(K24,2))))</f>
        <v>LABEL02</v>
      </c>
      <c r="M24" s="76" t="str">
        <f t="shared" si="6"/>
        <v>LABEL02</v>
      </c>
      <c r="N24" s="82" t="str">
        <f t="shared" si="0"/>
        <v/>
      </c>
      <c r="O24" s="83" t="str">
        <f t="shared" si="1"/>
        <v/>
      </c>
      <c r="P24" s="89" t="str">
        <f>IF(AND(G24="OPR",H24=0),CONCATENATE(IF(_xlfn.BITAND(OCT2DEC(RIGHT(F24,3)),PDP8E!C$14),PDP8E!D$14,""),IF(_xlfn.BITAND(OCT2DEC(RIGHT(F24,3)),PDP8E!C$15),PDP8E!D$15,""),IF(_xlfn.BITAND(OCT2DEC(RIGHT(F24,3)),PDP8E!C$16),PDP8E!D$16,""),IF(_xlfn.BITAND(OCT2DEC(RIGHT(F24,3)),PDP8E!C$17),PDP8E!D$17,""),IF(_xlfn.BITAND(OCT2DEC(RIGHT(F24,3)),PDP8E!C$18),PDP8E!D$18,""),IF(_xlfn.BITAND(OCT2DEC(F24),14)=PDP8E!C$19,PDP8E!D$19,""),IF(_xlfn.BITAND(OCT2DEC(F24),14)=PDP8E!C$20,PDP8E!D$20,""),IF(_xlfn.BITAND(OCT2DEC(F24),14)=PDP8E!C$21,PDP8E!D$21,""),IF(_xlfn.BITAND(OCT2DEC(F24),14)=PDP8E!C$22,PDP8E!D$22,"")),"")</f>
        <v/>
      </c>
      <c r="Q24" s="90" t="str">
        <f>IF(AND(G24="OPR",H24=1),CONCATENATE(IF(_xlfn.BITAND(OCT2DEC(F24),120)=PDP8E!C$24,PDP8E!D$24,""),IF(_xlfn.BITAND(OCT2DEC(F24),120)=PDP8E!C$25,PDP8E!D$25,""),IF(_xlfn.BITAND(OCT2DEC(F24),120)=PDP8E!C$26,PDP8E!D$26,""),IF(_xlfn.BITAND(OCT2DEC(F24),120)=PDP8E!C$27,PDP8E!D$27,""),IF(_xlfn.BITAND(OCT2DEC(F24),120)=PDP8E!C$28,PDP8E!D$28,""),IF(_xlfn.BITAND(OCT2DEC(F24),120)=PDP8E!C$29,PDP8E!D$29,""),IF(_xlfn.BITAND(OCT2DEC(F24),120)=PDP8E!C$30,PDP8E!D$30,""),IF(_xlfn.BITAND(OCT2DEC(F24),PDP8E!C$31)=PDP8E!C$31,PDP8E!D$31,""),IF(_xlfn.BITAND(OCT2DEC(F24),PDP8E!C$32)=PDP8E!C$32,PDP8E!D$32,""),IF(_xlfn.BITAND(OCT2DEC(F24),PDP8E!C$33)=PDP8E!C$33,PDP8E!D$33,"")),"")</f>
        <v/>
      </c>
      <c r="R24" s="89" t="str">
        <f>IF(ISNA(MATCH($F24,Installed!$L$6:$L$225,0)),"",VLOOKUP($F24,Installed!$L$6:$N$225,2,0))</f>
        <v/>
      </c>
      <c r="S24" s="91" t="str">
        <f>IF(ISNA(MATCH($F24,Installed!$L$6:$L$225,0)),"",CONCATENATE(VLOOKUP($F24,Installed!$L$6:$O$225,4,0),": ",VLOOKUP($F24,Installed!$L$6:$O$225,3,0)))</f>
        <v/>
      </c>
      <c r="T24" s="184" t="s">
        <v>811</v>
      </c>
      <c r="U24" s="8"/>
    </row>
    <row r="25" spans="1:21" x14ac:dyDescent="0.2">
      <c r="A25" s="8"/>
      <c r="B25" s="187"/>
      <c r="C25" s="104" t="str">
        <f>IF(E25=M847E!$AW$18,"START",IF(ISNA(MATCH(RIGHT(E25,3),K$4:K$35,0)),"",CONCATENATE("LABEL",RIGHT(E25,2))))</f>
        <v/>
      </c>
      <c r="D25" s="82">
        <v>22</v>
      </c>
      <c r="E25" s="83" t="str">
        <f t="shared" si="2"/>
        <v>0051</v>
      </c>
      <c r="F25" s="84">
        <f>VALUE(HLOOKUP(D25,M847E!$B$5:$BN$12,8))</f>
        <v>2050</v>
      </c>
      <c r="G25" s="85" t="str">
        <f>VLOOKUP(VALUE(LEFT(F25,1)),PDP8E!$C$5:$D$12,2,FALSE)</f>
        <v>ISZ</v>
      </c>
      <c r="H25" s="36">
        <f t="shared" si="3"/>
        <v>0</v>
      </c>
      <c r="I25" s="86">
        <f t="shared" si="4"/>
        <v>0</v>
      </c>
      <c r="J25" s="87"/>
      <c r="K25" s="88" t="str">
        <f t="shared" si="5"/>
        <v>050</v>
      </c>
      <c r="L25" s="76" t="str">
        <f>IF(LEN(K25)&lt;1,"",IF(K25=RIGHT(M847E!$AW$18,3),"START",CONCATENATE("LABEL",RIGHT(K25,2))))</f>
        <v>LABEL50</v>
      </c>
      <c r="M25" s="76" t="str">
        <f t="shared" si="6"/>
        <v>CORE</v>
      </c>
      <c r="N25" s="82" t="str">
        <f t="shared" si="0"/>
        <v/>
      </c>
      <c r="O25" s="83" t="str">
        <f t="shared" si="1"/>
        <v/>
      </c>
      <c r="P25" s="89" t="str">
        <f>IF(AND(G25="OPR",H25=0),CONCATENATE(IF(_xlfn.BITAND(OCT2DEC(RIGHT(F25,3)),PDP8E!C$14),PDP8E!D$14,""),IF(_xlfn.BITAND(OCT2DEC(RIGHT(F25,3)),PDP8E!C$15),PDP8E!D$15,""),IF(_xlfn.BITAND(OCT2DEC(RIGHT(F25,3)),PDP8E!C$16),PDP8E!D$16,""),IF(_xlfn.BITAND(OCT2DEC(RIGHT(F25,3)),PDP8E!C$17),PDP8E!D$17,""),IF(_xlfn.BITAND(OCT2DEC(RIGHT(F25,3)),PDP8E!C$18),PDP8E!D$18,""),IF(_xlfn.BITAND(OCT2DEC(F25),14)=PDP8E!C$19,PDP8E!D$19,""),IF(_xlfn.BITAND(OCT2DEC(F25),14)=PDP8E!C$20,PDP8E!D$20,""),IF(_xlfn.BITAND(OCT2DEC(F25),14)=PDP8E!C$21,PDP8E!D$21,""),IF(_xlfn.BITAND(OCT2DEC(F25),14)=PDP8E!C$22,PDP8E!D$22,"")),"")</f>
        <v/>
      </c>
      <c r="Q25" s="90" t="str">
        <f>IF(AND(G25="OPR",H25=1),CONCATENATE(IF(_xlfn.BITAND(OCT2DEC(F25),120)=PDP8E!C$24,PDP8E!D$24,""),IF(_xlfn.BITAND(OCT2DEC(F25),120)=PDP8E!C$25,PDP8E!D$25,""),IF(_xlfn.BITAND(OCT2DEC(F25),120)=PDP8E!C$26,PDP8E!D$26,""),IF(_xlfn.BITAND(OCT2DEC(F25),120)=PDP8E!C$27,PDP8E!D$27,""),IF(_xlfn.BITAND(OCT2DEC(F25),120)=PDP8E!C$28,PDP8E!D$28,""),IF(_xlfn.BITAND(OCT2DEC(F25),120)=PDP8E!C$29,PDP8E!D$29,""),IF(_xlfn.BITAND(OCT2DEC(F25),120)=PDP8E!C$30,PDP8E!D$30,""),IF(_xlfn.BITAND(OCT2DEC(F25),PDP8E!C$31)=PDP8E!C$31,PDP8E!D$31,""),IF(_xlfn.BITAND(OCT2DEC(F25),PDP8E!C$32)=PDP8E!C$32,PDP8E!D$32,""),IF(_xlfn.BITAND(OCT2DEC(F25),PDP8E!C$33)=PDP8E!C$33,PDP8E!D$33,"")),"")</f>
        <v/>
      </c>
      <c r="R25" s="89" t="str">
        <f>IF(ISNA(MATCH($F25,Installed!$L$6:$L$225,0)),"",VLOOKUP($F25,Installed!$L$6:$N$225,2,0))</f>
        <v/>
      </c>
      <c r="S25" s="91" t="str">
        <f>IF(ISNA(MATCH($F25,Installed!$L$6:$L$225,0)),"",CONCATENATE(VLOOKUP($F25,Installed!$L$6:$O$225,4,0),": ",VLOOKUP($F25,Installed!$L$6:$O$225,3,0)))</f>
        <v/>
      </c>
      <c r="T25" s="184" t="s">
        <v>813</v>
      </c>
      <c r="U25" s="8"/>
    </row>
    <row r="26" spans="1:21" x14ac:dyDescent="0.2">
      <c r="A26" s="8"/>
      <c r="B26" s="187"/>
      <c r="C26" s="104" t="str">
        <f>IF(E26=M847E!$AW$18,"START",IF(ISNA(MATCH(RIGHT(E26,3),K$4:K$35,0)),"",CONCATENATE("LABEL",RIGHT(E26,2))))</f>
        <v/>
      </c>
      <c r="D26" s="82">
        <v>23</v>
      </c>
      <c r="E26" s="83" t="str">
        <f t="shared" si="2"/>
        <v>0052</v>
      </c>
      <c r="F26" s="84">
        <f>VALUE(HLOOKUP(D26,M847E!$B$5:$BN$12,8))</f>
        <v>5047</v>
      </c>
      <c r="G26" s="85" t="str">
        <f>VLOOKUP(VALUE(LEFT(F26,1)),PDP8E!$C$5:$D$12,2,FALSE)</f>
        <v>JMP</v>
      </c>
      <c r="H26" s="36">
        <f t="shared" si="3"/>
        <v>0</v>
      </c>
      <c r="I26" s="86">
        <f t="shared" si="4"/>
        <v>0</v>
      </c>
      <c r="J26" s="87"/>
      <c r="K26" s="88" t="str">
        <f t="shared" si="5"/>
        <v>047</v>
      </c>
      <c r="L26" s="76" t="str">
        <f>IF(LEN(K26)&lt;1,"",IF(K26=RIGHT(M847E!$AW$18,3),"START",CONCATENATE("LABEL",RIGHT(K26,2))))</f>
        <v>LABEL47</v>
      </c>
      <c r="M26" s="76" t="str">
        <f t="shared" si="6"/>
        <v>WAIT</v>
      </c>
      <c r="N26" s="82" t="str">
        <f t="shared" si="0"/>
        <v/>
      </c>
      <c r="O26" s="83" t="str">
        <f t="shared" si="1"/>
        <v/>
      </c>
      <c r="P26" s="89" t="str">
        <f>IF(AND(G26="OPR",H26=0),CONCATENATE(IF(_xlfn.BITAND(OCT2DEC(RIGHT(F26,3)),PDP8E!C$14),PDP8E!D$14,""),IF(_xlfn.BITAND(OCT2DEC(RIGHT(F26,3)),PDP8E!C$15),PDP8E!D$15,""),IF(_xlfn.BITAND(OCT2DEC(RIGHT(F26,3)),PDP8E!C$16),PDP8E!D$16,""),IF(_xlfn.BITAND(OCT2DEC(RIGHT(F26,3)),PDP8E!C$17),PDP8E!D$17,""),IF(_xlfn.BITAND(OCT2DEC(RIGHT(F26,3)),PDP8E!C$18),PDP8E!D$18,""),IF(_xlfn.BITAND(OCT2DEC(F26),14)=PDP8E!C$19,PDP8E!D$19,""),IF(_xlfn.BITAND(OCT2DEC(F26),14)=PDP8E!C$20,PDP8E!D$20,""),IF(_xlfn.BITAND(OCT2DEC(F26),14)=PDP8E!C$21,PDP8E!D$21,""),IF(_xlfn.BITAND(OCT2DEC(F26),14)=PDP8E!C$22,PDP8E!D$22,"")),"")</f>
        <v/>
      </c>
      <c r="Q26" s="90" t="str">
        <f>IF(AND(G26="OPR",H26=1),CONCATENATE(IF(_xlfn.BITAND(OCT2DEC(F26),120)=PDP8E!C$24,PDP8E!D$24,""),IF(_xlfn.BITAND(OCT2DEC(F26),120)=PDP8E!C$25,PDP8E!D$25,""),IF(_xlfn.BITAND(OCT2DEC(F26),120)=PDP8E!C$26,PDP8E!D$26,""),IF(_xlfn.BITAND(OCT2DEC(F26),120)=PDP8E!C$27,PDP8E!D$27,""),IF(_xlfn.BITAND(OCT2DEC(F26),120)=PDP8E!C$28,PDP8E!D$28,""),IF(_xlfn.BITAND(OCT2DEC(F26),120)=PDP8E!C$29,PDP8E!D$29,""),IF(_xlfn.BITAND(OCT2DEC(F26),120)=PDP8E!C$30,PDP8E!D$30,""),IF(_xlfn.BITAND(OCT2DEC(F26),PDP8E!C$31)=PDP8E!C$31,PDP8E!D$31,""),IF(_xlfn.BITAND(OCT2DEC(F26),PDP8E!C$32)=PDP8E!C$32,PDP8E!D$32,""),IF(_xlfn.BITAND(OCT2DEC(F26),PDP8E!C$33)=PDP8E!C$33,PDP8E!D$33,"")),"")</f>
        <v/>
      </c>
      <c r="R26" s="89" t="str">
        <f>IF(ISNA(MATCH($F26,Installed!$L$6:$L$225,0)),"",VLOOKUP($F26,Installed!$L$6:$N$225,2,0))</f>
        <v/>
      </c>
      <c r="S26" s="91" t="str">
        <f>IF(ISNA(MATCH($F26,Installed!$L$6:$L$225,0)),"",CONCATENATE(VLOOKUP($F26,Installed!$L$6:$O$225,4,0),": ",VLOOKUP($F26,Installed!$L$6:$O$225,3,0)))</f>
        <v/>
      </c>
      <c r="T26" s="184" t="s">
        <v>812</v>
      </c>
      <c r="U26" s="8"/>
    </row>
    <row r="27" spans="1:21" x14ac:dyDescent="0.2">
      <c r="A27" s="8"/>
      <c r="B27" s="187" t="s">
        <v>815</v>
      </c>
      <c r="C27" s="104" t="str">
        <f>IF(E27=M847E!$AW$18,"START",IF(ISNA(MATCH(RIGHT(E27,3),K$4:K$35,0)),"",CONCATENATE("LABEL",RIGHT(E27,2))))</f>
        <v>LABEL53</v>
      </c>
      <c r="D27" s="82">
        <v>24</v>
      </c>
      <c r="E27" s="83" t="str">
        <f t="shared" si="2"/>
        <v>0053</v>
      </c>
      <c r="F27" s="84">
        <f>VALUE(HLOOKUP(D27,M847E!$B$5:$BN$12,8))</f>
        <v>0</v>
      </c>
      <c r="G27" s="85" t="str">
        <f>VLOOKUP(VALUE(LEFT(F27,1)),PDP8E!$C$5:$D$12,2,FALSE)</f>
        <v>AND</v>
      </c>
      <c r="H27" s="36">
        <f t="shared" si="3"/>
        <v>0</v>
      </c>
      <c r="I27" s="86">
        <f t="shared" si="4"/>
        <v>0</v>
      </c>
      <c r="J27" s="87"/>
      <c r="K27" s="88" t="str">
        <f t="shared" si="5"/>
        <v>000</v>
      </c>
      <c r="L27" s="76" t="str">
        <f>IF(LEN(K27)&lt;1,"",IF(K27=RIGHT(M847E!$AW$18,3),"START",CONCATENATE("LABEL",RIGHT(K27,2))))</f>
        <v>LABEL00</v>
      </c>
      <c r="M27" s="76" t="str">
        <f t="shared" si="6"/>
        <v>LABEL00</v>
      </c>
      <c r="N27" s="82" t="str">
        <f t="shared" si="0"/>
        <v/>
      </c>
      <c r="O27" s="83" t="str">
        <f t="shared" si="1"/>
        <v/>
      </c>
      <c r="P27" s="89" t="str">
        <f>IF(AND(G27="OPR",H27=0),CONCATENATE(IF(_xlfn.BITAND(OCT2DEC(RIGHT(F27,3)),PDP8E!C$14),PDP8E!D$14,""),IF(_xlfn.BITAND(OCT2DEC(RIGHT(F27,3)),PDP8E!C$15),PDP8E!D$15,""),IF(_xlfn.BITAND(OCT2DEC(RIGHT(F27,3)),PDP8E!C$16),PDP8E!D$16,""),IF(_xlfn.BITAND(OCT2DEC(RIGHT(F27,3)),PDP8E!C$17),PDP8E!D$17,""),IF(_xlfn.BITAND(OCT2DEC(RIGHT(F27,3)),PDP8E!C$18),PDP8E!D$18,""),IF(_xlfn.BITAND(OCT2DEC(F27),14)=PDP8E!C$19,PDP8E!D$19,""),IF(_xlfn.BITAND(OCT2DEC(F27),14)=PDP8E!C$20,PDP8E!D$20,""),IF(_xlfn.BITAND(OCT2DEC(F27),14)=PDP8E!C$21,PDP8E!D$21,""),IF(_xlfn.BITAND(OCT2DEC(F27),14)=PDP8E!C$22,PDP8E!D$22,"")),"")</f>
        <v/>
      </c>
      <c r="Q27" s="90" t="str">
        <f>IF(AND(G27="OPR",H27=1),CONCATENATE(IF(_xlfn.BITAND(OCT2DEC(F27),120)=PDP8E!C$24,PDP8E!D$24,""),IF(_xlfn.BITAND(OCT2DEC(F27),120)=PDP8E!C$25,PDP8E!D$25,""),IF(_xlfn.BITAND(OCT2DEC(F27),120)=PDP8E!C$26,PDP8E!D$26,""),IF(_xlfn.BITAND(OCT2DEC(F27),120)=PDP8E!C$27,PDP8E!D$27,""),IF(_xlfn.BITAND(OCT2DEC(F27),120)=PDP8E!C$28,PDP8E!D$28,""),IF(_xlfn.BITAND(OCT2DEC(F27),120)=PDP8E!C$29,PDP8E!D$29,""),IF(_xlfn.BITAND(OCT2DEC(F27),120)=PDP8E!C$30,PDP8E!D$30,""),IF(_xlfn.BITAND(OCT2DEC(F27),PDP8E!C$31)=PDP8E!C$31,PDP8E!D$31,""),IF(_xlfn.BITAND(OCT2DEC(F27),PDP8E!C$32)=PDP8E!C$32,PDP8E!D$32,""),IF(_xlfn.BITAND(OCT2DEC(F27),PDP8E!C$33)=PDP8E!C$33,PDP8E!D$33,"")),"")</f>
        <v/>
      </c>
      <c r="R27" s="89" t="str">
        <f>IF(ISNA(MATCH($F27,Installed!$L$6:$L$225,0)),"",VLOOKUP($F27,Installed!$L$6:$N$225,2,0))</f>
        <v/>
      </c>
      <c r="S27" s="91" t="str">
        <f>IF(ISNA(MATCH($F27,Installed!$L$6:$L$225,0)),"",CONCATENATE(VLOOKUP($F27,Installed!$L$6:$O$225,4,0),": ",VLOOKUP($F27,Installed!$L$6:$O$225,3,0)))</f>
        <v/>
      </c>
      <c r="T27" s="184" t="s">
        <v>816</v>
      </c>
      <c r="U27" s="8"/>
    </row>
    <row r="28" spans="1:21" x14ac:dyDescent="0.2">
      <c r="A28" s="8"/>
      <c r="B28" s="187"/>
      <c r="C28" s="104" t="str">
        <f>IF(E28=M847E!$AW$18,"START",IF(ISNA(MATCH(RIGHT(E28,3),K$4:K$35,0)),"",CONCATENATE("LABEL",RIGHT(E28,2))))</f>
        <v>LABEL54</v>
      </c>
      <c r="D28" s="82">
        <v>25</v>
      </c>
      <c r="E28" s="83" t="str">
        <f t="shared" si="2"/>
        <v>0054</v>
      </c>
      <c r="F28" s="84">
        <f>VALUE(HLOOKUP(D28,M847E!$B$5:$BN$12,8))</f>
        <v>6753</v>
      </c>
      <c r="G28" s="85" t="str">
        <f>VLOOKUP(VALUE(LEFT(F28,1)),PDP8E!$C$5:$D$12,2,FALSE)</f>
        <v>IOT</v>
      </c>
      <c r="H28" s="36" t="str">
        <f t="shared" si="3"/>
        <v/>
      </c>
      <c r="I28" s="86" t="str">
        <f t="shared" si="4"/>
        <v/>
      </c>
      <c r="J28" s="87"/>
      <c r="K28" s="88" t="str">
        <f t="shared" si="5"/>
        <v/>
      </c>
      <c r="L28" s="76" t="str">
        <f>IF(LEN(K28)&lt;1,"",IF(K28=RIGHT(M847E!$AW$18,3),"START",CONCATENATE("LABEL",RIGHT(K28,2))))</f>
        <v/>
      </c>
      <c r="M28" s="76" t="str">
        <f t="shared" si="6"/>
        <v/>
      </c>
      <c r="N28" s="82" t="str">
        <f t="shared" si="0"/>
        <v>75</v>
      </c>
      <c r="O28" s="83" t="str">
        <f t="shared" si="1"/>
        <v>3</v>
      </c>
      <c r="P28" s="89" t="str">
        <f>IF(AND(G28="OPR",H28=0),CONCATENATE(IF(_xlfn.BITAND(OCT2DEC(RIGHT(F28,3)),PDP8E!C$14),PDP8E!D$14,""),IF(_xlfn.BITAND(OCT2DEC(RIGHT(F28,3)),PDP8E!C$15),PDP8E!D$15,""),IF(_xlfn.BITAND(OCT2DEC(RIGHT(F28,3)),PDP8E!C$16),PDP8E!D$16,""),IF(_xlfn.BITAND(OCT2DEC(RIGHT(F28,3)),PDP8E!C$17),PDP8E!D$17,""),IF(_xlfn.BITAND(OCT2DEC(RIGHT(F28,3)),PDP8E!C$18),PDP8E!D$18,""),IF(_xlfn.BITAND(OCT2DEC(F28),14)=PDP8E!C$19,PDP8E!D$19,""),IF(_xlfn.BITAND(OCT2DEC(F28),14)=PDP8E!C$20,PDP8E!D$20,""),IF(_xlfn.BITAND(OCT2DEC(F28),14)=PDP8E!C$21,PDP8E!D$21,""),IF(_xlfn.BITAND(OCT2DEC(F28),14)=PDP8E!C$22,PDP8E!D$22,"")),"")</f>
        <v/>
      </c>
      <c r="Q28" s="90" t="str">
        <f>IF(AND(G28="OPR",H28=1),CONCATENATE(IF(_xlfn.BITAND(OCT2DEC(F28),120)=PDP8E!C$24,PDP8E!D$24,""),IF(_xlfn.BITAND(OCT2DEC(F28),120)=PDP8E!C$25,PDP8E!D$25,""),IF(_xlfn.BITAND(OCT2DEC(F28),120)=PDP8E!C$26,PDP8E!D$26,""),IF(_xlfn.BITAND(OCT2DEC(F28),120)=PDP8E!C$27,PDP8E!D$27,""),IF(_xlfn.BITAND(OCT2DEC(F28),120)=PDP8E!C$28,PDP8E!D$28,""),IF(_xlfn.BITAND(OCT2DEC(F28),120)=PDP8E!C$29,PDP8E!D$29,""),IF(_xlfn.BITAND(OCT2DEC(F28),120)=PDP8E!C$30,PDP8E!D$30,""),IF(_xlfn.BITAND(OCT2DEC(F28),PDP8E!C$31)=PDP8E!C$31,PDP8E!D$31,""),IF(_xlfn.BITAND(OCT2DEC(F28),PDP8E!C$32)=PDP8E!C$32,PDP8E!D$32,""),IF(_xlfn.BITAND(OCT2DEC(F28),PDP8E!C$33)=PDP8E!C$33,PDP8E!D$33,"")),"")</f>
        <v/>
      </c>
      <c r="R28" s="89" t="str">
        <f>IF(ISNA(MATCH($F28,Installed!$L$6:$L$225,0)),"",VLOOKUP($F28,Installed!$L$6:$N$225,2,0))</f>
        <v>STR</v>
      </c>
      <c r="S28" s="91" t="str">
        <f>IF(ISNA(MATCH($F28,Installed!$L$6:$L$225,0)),"",CONCATENATE(VLOOKUP($F28,Installed!$L$6:$O$225,4,0),": ",VLOOKUP($F28,Installed!$L$6:$O$225,3,0)))</f>
        <v>RX28: Skip on Transfer Request Flag, Clear Flag</v>
      </c>
      <c r="T28" s="184" t="s">
        <v>817</v>
      </c>
      <c r="U28" s="8"/>
    </row>
    <row r="29" spans="1:21" x14ac:dyDescent="0.2">
      <c r="A29" s="8"/>
      <c r="B29" s="187"/>
      <c r="C29" s="104" t="str">
        <f>IF(E29=M847E!$AW$18,"START",IF(ISNA(MATCH(RIGHT(E29,3),K$4:K$35,0)),"",CONCATENATE("LABEL",RIGHT(E29,2))))</f>
        <v/>
      </c>
      <c r="D29" s="82">
        <v>26</v>
      </c>
      <c r="E29" s="83" t="str">
        <f t="shared" si="2"/>
        <v>0055</v>
      </c>
      <c r="F29" s="84">
        <f>VALUE(HLOOKUP(D29,M847E!$B$5:$BN$12,8))</f>
        <v>5033</v>
      </c>
      <c r="G29" s="85" t="str">
        <f>VLOOKUP(VALUE(LEFT(F29,1)),PDP8E!$C$5:$D$12,2,FALSE)</f>
        <v>JMP</v>
      </c>
      <c r="H29" s="36">
        <f t="shared" si="3"/>
        <v>0</v>
      </c>
      <c r="I29" s="86">
        <f t="shared" si="4"/>
        <v>0</v>
      </c>
      <c r="J29" s="87"/>
      <c r="K29" s="88" t="str">
        <f t="shared" si="5"/>
        <v>033</v>
      </c>
      <c r="L29" s="76" t="str">
        <f>IF(LEN(K29)&lt;1,"",IF(K29=RIGHT(M847E!$AW$18,3),"START",CONCATENATE("LABEL",RIGHT(K29,2))))</f>
        <v>START</v>
      </c>
      <c r="M29" s="76" t="str">
        <f t="shared" si="6"/>
        <v>START</v>
      </c>
      <c r="N29" s="82" t="str">
        <f t="shared" si="0"/>
        <v/>
      </c>
      <c r="O29" s="83" t="str">
        <f t="shared" si="1"/>
        <v/>
      </c>
      <c r="P29" s="89" t="str">
        <f>IF(AND(G29="OPR",H29=0),CONCATENATE(IF(_xlfn.BITAND(OCT2DEC(RIGHT(F29,3)),PDP8E!C$14),PDP8E!D$14,""),IF(_xlfn.BITAND(OCT2DEC(RIGHT(F29,3)),PDP8E!C$15),PDP8E!D$15,""),IF(_xlfn.BITAND(OCT2DEC(RIGHT(F29,3)),PDP8E!C$16),PDP8E!D$16,""),IF(_xlfn.BITAND(OCT2DEC(RIGHT(F29,3)),PDP8E!C$17),PDP8E!D$17,""),IF(_xlfn.BITAND(OCT2DEC(RIGHT(F29,3)),PDP8E!C$18),PDP8E!D$18,""),IF(_xlfn.BITAND(OCT2DEC(F29),14)=PDP8E!C$19,PDP8E!D$19,""),IF(_xlfn.BITAND(OCT2DEC(F29),14)=PDP8E!C$20,PDP8E!D$20,""),IF(_xlfn.BITAND(OCT2DEC(F29),14)=PDP8E!C$21,PDP8E!D$21,""),IF(_xlfn.BITAND(OCT2DEC(F29),14)=PDP8E!C$22,PDP8E!D$22,"")),"")</f>
        <v/>
      </c>
      <c r="Q29" s="90" t="str">
        <f>IF(AND(G29="OPR",H29=1),CONCATENATE(IF(_xlfn.BITAND(OCT2DEC(F29),120)=PDP8E!C$24,PDP8E!D$24,""),IF(_xlfn.BITAND(OCT2DEC(F29),120)=PDP8E!C$25,PDP8E!D$25,""),IF(_xlfn.BITAND(OCT2DEC(F29),120)=PDP8E!C$26,PDP8E!D$26,""),IF(_xlfn.BITAND(OCT2DEC(F29),120)=PDP8E!C$27,PDP8E!D$27,""),IF(_xlfn.BITAND(OCT2DEC(F29),120)=PDP8E!C$28,PDP8E!D$28,""),IF(_xlfn.BITAND(OCT2DEC(F29),120)=PDP8E!C$29,PDP8E!D$29,""),IF(_xlfn.BITAND(OCT2DEC(F29),120)=PDP8E!C$30,PDP8E!D$30,""),IF(_xlfn.BITAND(OCT2DEC(F29),PDP8E!C$31)=PDP8E!C$31,PDP8E!D$31,""),IF(_xlfn.BITAND(OCT2DEC(F29),PDP8E!C$32)=PDP8E!C$32,PDP8E!D$32,""),IF(_xlfn.BITAND(OCT2DEC(F29),PDP8E!C$33)=PDP8E!C$33,PDP8E!D$33,"")),"")</f>
        <v/>
      </c>
      <c r="R29" s="89" t="str">
        <f>IF(ISNA(MATCH($F29,Installed!$L$6:$L$225,0)),"",VLOOKUP($F29,Installed!$L$6:$N$225,2,0))</f>
        <v/>
      </c>
      <c r="S29" s="91" t="str">
        <f>IF(ISNA(MATCH($F29,Installed!$L$6:$L$225,0)),"",CONCATENATE(VLOOKUP($F29,Installed!$L$6:$O$225,4,0),": ",VLOOKUP($F29,Installed!$L$6:$O$225,3,0)))</f>
        <v/>
      </c>
      <c r="T29" s="184" t="s">
        <v>818</v>
      </c>
      <c r="U29" s="8"/>
    </row>
    <row r="30" spans="1:21" x14ac:dyDescent="0.2">
      <c r="A30" s="8"/>
      <c r="B30" s="187"/>
      <c r="C30" s="104" t="str">
        <f>IF(E30=M847E!$AW$18,"START",IF(ISNA(MATCH(RIGHT(E30,3),K$4:K$35,0)),"",CONCATENATE("LABEL",RIGHT(E30,2))))</f>
        <v/>
      </c>
      <c r="D30" s="82">
        <v>27</v>
      </c>
      <c r="E30" s="83" t="str">
        <f t="shared" si="2"/>
        <v>0056</v>
      </c>
      <c r="F30" s="84">
        <f>VALUE(HLOOKUP(D30,M847E!$B$5:$BN$12,8))</f>
        <v>6752</v>
      </c>
      <c r="G30" s="85" t="str">
        <f>VLOOKUP(VALUE(LEFT(F30,1)),PDP8E!$C$5:$D$12,2,FALSE)</f>
        <v>IOT</v>
      </c>
      <c r="H30" s="36" t="str">
        <f t="shared" si="3"/>
        <v/>
      </c>
      <c r="I30" s="86" t="str">
        <f t="shared" si="4"/>
        <v/>
      </c>
      <c r="J30" s="87"/>
      <c r="K30" s="88" t="str">
        <f t="shared" si="5"/>
        <v/>
      </c>
      <c r="L30" s="76" t="str">
        <f>IF(LEN(K30)&lt;1,"",IF(K30=RIGHT(M847E!$AW$18,3),"START",CONCATENATE("LABEL",RIGHT(K30,2))))</f>
        <v/>
      </c>
      <c r="M30" s="76" t="str">
        <f t="shared" si="6"/>
        <v/>
      </c>
      <c r="N30" s="82" t="str">
        <f t="shared" si="0"/>
        <v>75</v>
      </c>
      <c r="O30" s="83" t="str">
        <f t="shared" si="1"/>
        <v>2</v>
      </c>
      <c r="P30" s="89" t="str">
        <f>IF(AND(G30="OPR",H30=0),CONCATENATE(IF(_xlfn.BITAND(OCT2DEC(RIGHT(F30,3)),PDP8E!C$14),PDP8E!D$14,""),IF(_xlfn.BITAND(OCT2DEC(RIGHT(F30,3)),PDP8E!C$15),PDP8E!D$15,""),IF(_xlfn.BITAND(OCT2DEC(RIGHT(F30,3)),PDP8E!C$16),PDP8E!D$16,""),IF(_xlfn.BITAND(OCT2DEC(RIGHT(F30,3)),PDP8E!C$17),PDP8E!D$17,""),IF(_xlfn.BITAND(OCT2DEC(RIGHT(F30,3)),PDP8E!C$18),PDP8E!D$18,""),IF(_xlfn.BITAND(OCT2DEC(F30),14)=PDP8E!C$19,PDP8E!D$19,""),IF(_xlfn.BITAND(OCT2DEC(F30),14)=PDP8E!C$20,PDP8E!D$20,""),IF(_xlfn.BITAND(OCT2DEC(F30),14)=PDP8E!C$21,PDP8E!D$21,""),IF(_xlfn.BITAND(OCT2DEC(F30),14)=PDP8E!C$22,PDP8E!D$22,"")),"")</f>
        <v/>
      </c>
      <c r="Q30" s="90" t="str">
        <f>IF(AND(G30="OPR",H30=1),CONCATENATE(IF(_xlfn.BITAND(OCT2DEC(F30),120)=PDP8E!C$24,PDP8E!D$24,""),IF(_xlfn.BITAND(OCT2DEC(F30),120)=PDP8E!C$25,PDP8E!D$25,""),IF(_xlfn.BITAND(OCT2DEC(F30),120)=PDP8E!C$26,PDP8E!D$26,""),IF(_xlfn.BITAND(OCT2DEC(F30),120)=PDP8E!C$27,PDP8E!D$27,""),IF(_xlfn.BITAND(OCT2DEC(F30),120)=PDP8E!C$28,PDP8E!D$28,""),IF(_xlfn.BITAND(OCT2DEC(F30),120)=PDP8E!C$29,PDP8E!D$29,""),IF(_xlfn.BITAND(OCT2DEC(F30),120)=PDP8E!C$30,PDP8E!D$30,""),IF(_xlfn.BITAND(OCT2DEC(F30),PDP8E!C$31)=PDP8E!C$31,PDP8E!D$31,""),IF(_xlfn.BITAND(OCT2DEC(F30),PDP8E!C$32)=PDP8E!C$32,PDP8E!D$32,""),IF(_xlfn.BITAND(OCT2DEC(F30),PDP8E!C$33)=PDP8E!C$33,PDP8E!D$33,"")),"")</f>
        <v/>
      </c>
      <c r="R30" s="89" t="str">
        <f>IF(ISNA(MATCH($F30,Installed!$L$6:$L$225,0)),"",VLOOKUP($F30,Installed!$L$6:$N$225,2,0))</f>
        <v>XDR</v>
      </c>
      <c r="S30" s="91" t="str">
        <f>IF(ISNA(MATCH($F30,Installed!$L$6:$L$225,0)),"",CONCATENATE(VLOOKUP($F30,Installed!$L$6:$O$225,4,0),": ",VLOOKUP($F30,Installed!$L$6:$O$225,3,0)))</f>
        <v>RX28: Transfer Data Register</v>
      </c>
      <c r="T30" s="184" t="s">
        <v>819</v>
      </c>
      <c r="U30" s="8"/>
    </row>
    <row r="31" spans="1:21" x14ac:dyDescent="0.2">
      <c r="A31" s="8"/>
      <c r="B31" s="187"/>
      <c r="C31" s="104" t="str">
        <f>IF(E31=M847E!$AW$18,"START",IF(ISNA(MATCH(RIGHT(E31,3),K$4:K$35,0)),"",CONCATENATE("LABEL",RIGHT(E31,2))))</f>
        <v/>
      </c>
      <c r="D31" s="82">
        <v>28</v>
      </c>
      <c r="E31" s="83" t="str">
        <f t="shared" si="2"/>
        <v>0057</v>
      </c>
      <c r="F31" s="84">
        <f>VALUE(HLOOKUP(D31,M847E!$B$5:$BN$12,8))</f>
        <v>5453</v>
      </c>
      <c r="G31" s="85" t="str">
        <f>VLOOKUP(VALUE(LEFT(F31,1)),PDP8E!$C$5:$D$12,2,FALSE)</f>
        <v>JMP</v>
      </c>
      <c r="H31" s="36">
        <f t="shared" si="3"/>
        <v>1</v>
      </c>
      <c r="I31" s="86">
        <f t="shared" si="4"/>
        <v>0</v>
      </c>
      <c r="J31" s="87"/>
      <c r="K31" s="88" t="str">
        <f t="shared" si="5"/>
        <v>053</v>
      </c>
      <c r="L31" s="76" t="str">
        <f>IF(LEN(K31)&lt;1,"",IF(K31=RIGHT(M847E!$AW$18,3),"START",CONCATENATE("LABEL",RIGHT(K31,2))))</f>
        <v>LABEL53</v>
      </c>
      <c r="M31" s="76" t="str">
        <f t="shared" si="6"/>
        <v>LOAD</v>
      </c>
      <c r="N31" s="82" t="str">
        <f t="shared" si="0"/>
        <v/>
      </c>
      <c r="O31" s="83" t="str">
        <f t="shared" si="1"/>
        <v/>
      </c>
      <c r="P31" s="89" t="str">
        <f>IF(AND(G31="OPR",H31=0),CONCATENATE(IF(_xlfn.BITAND(OCT2DEC(RIGHT(F31,3)),PDP8E!C$14),PDP8E!D$14,""),IF(_xlfn.BITAND(OCT2DEC(RIGHT(F31,3)),PDP8E!C$15),PDP8E!D$15,""),IF(_xlfn.BITAND(OCT2DEC(RIGHT(F31,3)),PDP8E!C$16),PDP8E!D$16,""),IF(_xlfn.BITAND(OCT2DEC(RIGHT(F31,3)),PDP8E!C$17),PDP8E!D$17,""),IF(_xlfn.BITAND(OCT2DEC(RIGHT(F31,3)),PDP8E!C$18),PDP8E!D$18,""),IF(_xlfn.BITAND(OCT2DEC(F31),14)=PDP8E!C$19,PDP8E!D$19,""),IF(_xlfn.BITAND(OCT2DEC(F31),14)=PDP8E!C$20,PDP8E!D$20,""),IF(_xlfn.BITAND(OCT2DEC(F31),14)=PDP8E!C$21,PDP8E!D$21,""),IF(_xlfn.BITAND(OCT2DEC(F31),14)=PDP8E!C$22,PDP8E!D$22,"")),"")</f>
        <v/>
      </c>
      <c r="Q31" s="90" t="str">
        <f>IF(AND(G31="OPR",H31=1),CONCATENATE(IF(_xlfn.BITAND(OCT2DEC(F31),120)=PDP8E!C$24,PDP8E!D$24,""),IF(_xlfn.BITAND(OCT2DEC(F31),120)=PDP8E!C$25,PDP8E!D$25,""),IF(_xlfn.BITAND(OCT2DEC(F31),120)=PDP8E!C$26,PDP8E!D$26,""),IF(_xlfn.BITAND(OCT2DEC(F31),120)=PDP8E!C$27,PDP8E!D$27,""),IF(_xlfn.BITAND(OCT2DEC(F31),120)=PDP8E!C$28,PDP8E!D$28,""),IF(_xlfn.BITAND(OCT2DEC(F31),120)=PDP8E!C$29,PDP8E!D$29,""),IF(_xlfn.BITAND(OCT2DEC(F31),120)=PDP8E!C$30,PDP8E!D$30,""),IF(_xlfn.BITAND(OCT2DEC(F31),PDP8E!C$31)=PDP8E!C$31,PDP8E!D$31,""),IF(_xlfn.BITAND(OCT2DEC(F31),PDP8E!C$32)=PDP8E!C$32,PDP8E!D$32,""),IF(_xlfn.BITAND(OCT2DEC(F31),PDP8E!C$33)=PDP8E!C$33,PDP8E!D$33,"")),"")</f>
        <v/>
      </c>
      <c r="R31" s="89" t="str">
        <f>IF(ISNA(MATCH($F31,Installed!$L$6:$L$225,0)),"",VLOOKUP($F31,Installed!$L$6:$N$225,2,0))</f>
        <v/>
      </c>
      <c r="S31" s="91" t="str">
        <f>IF(ISNA(MATCH($F31,Installed!$L$6:$L$225,0)),"",CONCATENATE(VLOOKUP($F31,Installed!$L$6:$O$225,4,0),": ",VLOOKUP($F31,Installed!$L$6:$O$225,3,0)))</f>
        <v/>
      </c>
      <c r="T31" s="184" t="s">
        <v>820</v>
      </c>
      <c r="U31" s="8"/>
    </row>
    <row r="32" spans="1:21" x14ac:dyDescent="0.2">
      <c r="A32" s="8"/>
      <c r="B32" s="187" t="s">
        <v>825</v>
      </c>
      <c r="C32" s="104" t="str">
        <f>IF(E32=M847E!$AW$18,"START",IF(ISNA(MATCH(RIGHT(E32,3),K$4:K$35,0)),"",CONCATENATE("LABEL",RIGHT(E32,2))))</f>
        <v>LABEL60</v>
      </c>
      <c r="D32" s="82">
        <v>29</v>
      </c>
      <c r="E32" s="83" t="str">
        <f t="shared" si="2"/>
        <v>0060</v>
      </c>
      <c r="F32" s="84">
        <f>VALUE(HLOOKUP(D32,M847E!$B$5:$BN$12,8))</f>
        <v>7024</v>
      </c>
      <c r="G32" s="85" t="str">
        <f>VLOOKUP(VALUE(LEFT(F32,1)),PDP8E!$C$5:$D$12,2,FALSE)</f>
        <v>OPR</v>
      </c>
      <c r="H32" s="36">
        <f t="shared" si="3"/>
        <v>0</v>
      </c>
      <c r="I32" s="86" t="str">
        <f t="shared" si="4"/>
        <v/>
      </c>
      <c r="J32" s="87"/>
      <c r="K32" s="88" t="str">
        <f t="shared" si="5"/>
        <v/>
      </c>
      <c r="L32" s="76" t="str">
        <f>IF(LEN(K32)&lt;1,"",IF(K32=RIGHT(M847E!$AW$18,3),"START",CONCATENATE("LABEL",RIGHT(K32,2))))</f>
        <v/>
      </c>
      <c r="M32" s="76" t="str">
        <f t="shared" si="6"/>
        <v/>
      </c>
      <c r="N32" s="82" t="str">
        <f t="shared" si="0"/>
        <v/>
      </c>
      <c r="O32" s="83" t="str">
        <f t="shared" si="1"/>
        <v/>
      </c>
      <c r="P32" s="89" t="str">
        <f>IF(AND(G32="OPR",H32=0),CONCATENATE(IF(_xlfn.BITAND(OCT2DEC(RIGHT(F32,3)),PDP8E!C$14),PDP8E!D$14,""),IF(_xlfn.BITAND(OCT2DEC(RIGHT(F32,3)),PDP8E!C$15),PDP8E!D$15,""),IF(_xlfn.BITAND(OCT2DEC(RIGHT(F32,3)),PDP8E!C$16),PDP8E!D$16,""),IF(_xlfn.BITAND(OCT2DEC(RIGHT(F32,3)),PDP8E!C$17),PDP8E!D$17,""),IF(_xlfn.BITAND(OCT2DEC(RIGHT(F32,3)),PDP8E!C$18),PDP8E!D$18,""),IF(_xlfn.BITAND(OCT2DEC(F32),14)=PDP8E!C$19,PDP8E!D$19,""),IF(_xlfn.BITAND(OCT2DEC(F32),14)=PDP8E!C$20,PDP8E!D$20,""),IF(_xlfn.BITAND(OCT2DEC(F32),14)=PDP8E!C$21,PDP8E!D$21,""),IF(_xlfn.BITAND(OCT2DEC(F32),14)=PDP8E!C$22,PDP8E!D$22,"")),"")</f>
        <v xml:space="preserve">CML RAL </v>
      </c>
      <c r="Q32" s="90" t="str">
        <f>IF(AND(G32="OPR",H32=1),CONCATENATE(IF(_xlfn.BITAND(OCT2DEC(F32),120)=PDP8E!C$24,PDP8E!D$24,""),IF(_xlfn.BITAND(OCT2DEC(F32),120)=PDP8E!C$25,PDP8E!D$25,""),IF(_xlfn.BITAND(OCT2DEC(F32),120)=PDP8E!C$26,PDP8E!D$26,""),IF(_xlfn.BITAND(OCT2DEC(F32),120)=PDP8E!C$27,PDP8E!D$27,""),IF(_xlfn.BITAND(OCT2DEC(F32),120)=PDP8E!C$28,PDP8E!D$28,""),IF(_xlfn.BITAND(OCT2DEC(F32),120)=PDP8E!C$29,PDP8E!D$29,""),IF(_xlfn.BITAND(OCT2DEC(F32),120)=PDP8E!C$30,PDP8E!D$30,""),IF(_xlfn.BITAND(OCT2DEC(F32),PDP8E!C$31)=PDP8E!C$31,PDP8E!D$31,""),IF(_xlfn.BITAND(OCT2DEC(F32),PDP8E!C$32)=PDP8E!C$32,PDP8E!D$32,""),IF(_xlfn.BITAND(OCT2DEC(F32),PDP8E!C$33)=PDP8E!C$33,PDP8E!D$33,"")),"")</f>
        <v/>
      </c>
      <c r="R32" s="89" t="str">
        <f>IF(ISNA(MATCH($F32,Installed!$L$6:$L$225,0)),"",VLOOKUP($F32,Installed!$L$6:$N$225,2,0))</f>
        <v/>
      </c>
      <c r="S32" s="91" t="str">
        <f>IF(ISNA(MATCH($F32,Installed!$L$6:$L$225,0)),"",CONCATENATE(VLOOKUP($F32,Installed!$L$6:$O$225,4,0),": ",VLOOKUP($F32,Installed!$L$6:$O$225,3,0)))</f>
        <v/>
      </c>
      <c r="T32" s="184" t="s">
        <v>821</v>
      </c>
      <c r="U32" s="8"/>
    </row>
    <row r="33" spans="1:21" x14ac:dyDescent="0.2">
      <c r="A33" s="8"/>
      <c r="B33" s="187" t="s">
        <v>826</v>
      </c>
      <c r="C33" s="104" t="str">
        <f>IF(E33=M847E!$AW$18,"START",IF(ISNA(MATCH(RIGHT(E33,3),K$4:K$35,0)),"",CONCATENATE("LABEL",RIGHT(E33,2))))</f>
        <v>LABEL61</v>
      </c>
      <c r="D33" s="82">
        <v>30</v>
      </c>
      <c r="E33" s="83" t="str">
        <f t="shared" si="2"/>
        <v>0061</v>
      </c>
      <c r="F33" s="84">
        <f>VALUE(HLOOKUP(D33,M847E!$B$5:$BN$12,8))</f>
        <v>6030</v>
      </c>
      <c r="G33" s="85" t="str">
        <f>VLOOKUP(VALUE(LEFT(F33,1)),PDP8E!$C$5:$D$12,2,FALSE)</f>
        <v>IOT</v>
      </c>
      <c r="H33" s="36" t="str">
        <f t="shared" si="3"/>
        <v/>
      </c>
      <c r="I33" s="86" t="str">
        <f t="shared" si="4"/>
        <v/>
      </c>
      <c r="J33" s="87"/>
      <c r="K33" s="88" t="str">
        <f t="shared" si="5"/>
        <v/>
      </c>
      <c r="L33" s="76" t="str">
        <f>IF(LEN(K33)&lt;1,"",IF(K33=RIGHT(M847E!$AW$18,3),"START",CONCATENATE("LABEL",RIGHT(K33,2))))</f>
        <v/>
      </c>
      <c r="M33" s="76" t="str">
        <f t="shared" si="6"/>
        <v/>
      </c>
      <c r="N33" s="82" t="str">
        <f t="shared" si="0"/>
        <v>03</v>
      </c>
      <c r="O33" s="83" t="str">
        <f t="shared" si="1"/>
        <v>0</v>
      </c>
      <c r="P33" s="89" t="str">
        <f>IF(AND(G33="OPR",H33=0),CONCATENATE(IF(_xlfn.BITAND(OCT2DEC(RIGHT(F33,3)),PDP8E!C$14),PDP8E!D$14,""),IF(_xlfn.BITAND(OCT2DEC(RIGHT(F33,3)),PDP8E!C$15),PDP8E!D$15,""),IF(_xlfn.BITAND(OCT2DEC(RIGHT(F33,3)),PDP8E!C$16),PDP8E!D$16,""),IF(_xlfn.BITAND(OCT2DEC(RIGHT(F33,3)),PDP8E!C$17),PDP8E!D$17,""),IF(_xlfn.BITAND(OCT2DEC(RIGHT(F33,3)),PDP8E!C$18),PDP8E!D$18,""),IF(_xlfn.BITAND(OCT2DEC(F33),14)=PDP8E!C$19,PDP8E!D$19,""),IF(_xlfn.BITAND(OCT2DEC(F33),14)=PDP8E!C$20,PDP8E!D$20,""),IF(_xlfn.BITAND(OCT2DEC(F33),14)=PDP8E!C$21,PDP8E!D$21,""),IF(_xlfn.BITAND(OCT2DEC(F33),14)=PDP8E!C$22,PDP8E!D$22,"")),"")</f>
        <v/>
      </c>
      <c r="Q33" s="90" t="str">
        <f>IF(AND(G33="OPR",H33=1),CONCATENATE(IF(_xlfn.BITAND(OCT2DEC(F33),120)=PDP8E!C$24,PDP8E!D$24,""),IF(_xlfn.BITAND(OCT2DEC(F33),120)=PDP8E!C$25,PDP8E!D$25,""),IF(_xlfn.BITAND(OCT2DEC(F33),120)=PDP8E!C$26,PDP8E!D$26,""),IF(_xlfn.BITAND(OCT2DEC(F33),120)=PDP8E!C$27,PDP8E!D$27,""),IF(_xlfn.BITAND(OCT2DEC(F33),120)=PDP8E!C$28,PDP8E!D$28,""),IF(_xlfn.BITAND(OCT2DEC(F33),120)=PDP8E!C$29,PDP8E!D$29,""),IF(_xlfn.BITAND(OCT2DEC(F33),120)=PDP8E!C$30,PDP8E!D$30,""),IF(_xlfn.BITAND(OCT2DEC(F33),PDP8E!C$31)=PDP8E!C$31,PDP8E!D$31,""),IF(_xlfn.BITAND(OCT2DEC(F33),PDP8E!C$32)=PDP8E!C$32,PDP8E!D$32,""),IF(_xlfn.BITAND(OCT2DEC(F33),PDP8E!C$33)=PDP8E!C$33,PDP8E!D$33,"")),"")</f>
        <v/>
      </c>
      <c r="R33" s="89" t="str">
        <f>IF(ISNA(MATCH($F33,Installed!$L$6:$L$225,0)),"",VLOOKUP($F33,Installed!$L$6:$N$225,2,0))</f>
        <v>KCF</v>
      </c>
      <c r="S33" s="91" t="str">
        <f>IF(ISNA(MATCH($F33,Installed!$L$6:$L$225,0)),"",CONCATENATE(VLOOKUP($F33,Installed!$L$6:$O$225,4,0),": ",VLOOKUP($F33,Installed!$L$6:$O$225,3,0)))</f>
        <v>KL8-E: Clear Keyboard Flag</v>
      </c>
      <c r="T33" s="184" t="s">
        <v>822</v>
      </c>
      <c r="U33" s="8"/>
    </row>
    <row r="34" spans="1:21" x14ac:dyDescent="0.2">
      <c r="A34" s="8"/>
      <c r="B34" s="187"/>
      <c r="C34" s="104" t="str">
        <f>IF(E34=M847E!$AW$18,"START",IF(ISNA(MATCH(RIGHT(E34,3),K$4:K$35,0)),"",CONCATENATE("LABEL",RIGHT(E34,2))))</f>
        <v/>
      </c>
      <c r="D34" s="82">
        <v>31</v>
      </c>
      <c r="E34" s="83" t="str">
        <f t="shared" si="2"/>
        <v>0062</v>
      </c>
      <c r="F34" s="84">
        <f>VALUE(HLOOKUP(D34,M847E!$B$5:$BN$12,8))</f>
        <v>7777</v>
      </c>
      <c r="G34" s="85" t="str">
        <f>VLOOKUP(VALUE(LEFT(F34,1)),PDP8E!$C$5:$D$12,2,FALSE)</f>
        <v>OPR</v>
      </c>
      <c r="H34" s="36">
        <f t="shared" si="3"/>
        <v>1</v>
      </c>
      <c r="I34" s="86" t="str">
        <f t="shared" si="4"/>
        <v/>
      </c>
      <c r="J34" s="87"/>
      <c r="K34" s="88" t="str">
        <f t="shared" si="5"/>
        <v/>
      </c>
      <c r="L34" s="76" t="str">
        <f>IF(LEN(K34)&lt;1,"",IF(K34=RIGHT(M847E!$AW$18,3),"START",CONCATENATE("LABEL",RIGHT(K34,2))))</f>
        <v/>
      </c>
      <c r="M34" s="76" t="str">
        <f t="shared" si="6"/>
        <v/>
      </c>
      <c r="N34" s="82" t="str">
        <f t="shared" si="0"/>
        <v/>
      </c>
      <c r="O34" s="83" t="str">
        <f t="shared" si="1"/>
        <v/>
      </c>
      <c r="P34" s="89" t="str">
        <f>IF(AND(G34="OPR",H34=0),CONCATENATE(IF(_xlfn.BITAND(OCT2DEC(RIGHT(F34,3)),PDP8E!C$14),PDP8E!D$14,""),IF(_xlfn.BITAND(OCT2DEC(RIGHT(F34,3)),PDP8E!C$15),PDP8E!D$15,""),IF(_xlfn.BITAND(OCT2DEC(RIGHT(F34,3)),PDP8E!C$16),PDP8E!D$16,""),IF(_xlfn.BITAND(OCT2DEC(RIGHT(F34,3)),PDP8E!C$17),PDP8E!D$17,""),IF(_xlfn.BITAND(OCT2DEC(RIGHT(F34,3)),PDP8E!C$18),PDP8E!D$18,""),IF(_xlfn.BITAND(OCT2DEC(F34),14)=PDP8E!C$19,PDP8E!D$19,""),IF(_xlfn.BITAND(OCT2DEC(F34),14)=PDP8E!C$20,PDP8E!D$20,""),IF(_xlfn.BITAND(OCT2DEC(F34),14)=PDP8E!C$21,PDP8E!D$21,""),IF(_xlfn.BITAND(OCT2DEC(F34),14)=PDP8E!C$22,PDP8E!D$22,"")),"")</f>
        <v/>
      </c>
      <c r="Q34" s="90" t="str">
        <f>IF(AND(G34="OPR",H34=1),CONCATENATE(IF(_xlfn.BITAND(OCT2DEC(F34),120)=PDP8E!C$24,PDP8E!D$24,""),IF(_xlfn.BITAND(OCT2DEC(F34),120)=PDP8E!C$25,PDP8E!D$25,""),IF(_xlfn.BITAND(OCT2DEC(F34),120)=PDP8E!C$26,PDP8E!D$26,""),IF(_xlfn.BITAND(OCT2DEC(F34),120)=PDP8E!C$27,PDP8E!D$27,""),IF(_xlfn.BITAND(OCT2DEC(F34),120)=PDP8E!C$28,PDP8E!D$28,""),IF(_xlfn.BITAND(OCT2DEC(F34),120)=PDP8E!C$29,PDP8E!D$29,""),IF(_xlfn.BITAND(OCT2DEC(F34),120)=PDP8E!C$30,PDP8E!D$30,""),IF(_xlfn.BITAND(OCT2DEC(F34),PDP8E!C$31)=PDP8E!C$31,PDP8E!D$31,""),IF(_xlfn.BITAND(OCT2DEC(F34),PDP8E!C$32)=PDP8E!C$32,PDP8E!D$32,""),IF(_xlfn.BITAND(OCT2DEC(F34),PDP8E!C$33)=PDP8E!C$33,PDP8E!D$33,"")),"")</f>
        <v xml:space="preserve">CLA OSR HLT </v>
      </c>
      <c r="R34" s="89" t="str">
        <f>IF(ISNA(MATCH($F34,Installed!$L$6:$L$225,0)),"",VLOOKUP($F34,Installed!$L$6:$N$225,2,0))</f>
        <v/>
      </c>
      <c r="S34" s="91" t="str">
        <f>IF(ISNA(MATCH($F34,Installed!$L$6:$L$225,0)),"",CONCATENATE(VLOOKUP($F34,Installed!$L$6:$O$225,4,0),": ",VLOOKUP($F34,Installed!$L$6:$O$225,3,0)))</f>
        <v/>
      </c>
      <c r="T34" s="184" t="s">
        <v>823</v>
      </c>
      <c r="U34" s="8"/>
    </row>
    <row r="35" spans="1:21" ht="17" thickBot="1" x14ac:dyDescent="0.25">
      <c r="A35" s="8"/>
      <c r="B35" s="188"/>
      <c r="C35" s="105" t="str">
        <f>IF(E35=M847E!$AW$18,"START",IF(ISNA(MATCH(RIGHT(E35,3),K$4:K$35,0)),"",CONCATENATE("LABEL",RIGHT(E35,2))))</f>
        <v/>
      </c>
      <c r="D35" s="92">
        <v>32</v>
      </c>
      <c r="E35" s="93" t="str">
        <f t="shared" si="2"/>
        <v>0063</v>
      </c>
      <c r="F35" s="94">
        <f>VALUE(HLOOKUP(D35,M847E!$B$5:$BN$12,8))</f>
        <v>7777</v>
      </c>
      <c r="G35" s="95" t="str">
        <f>VLOOKUP(VALUE(LEFT(F35,1)),PDP8E!$C$5:$D$12,2,FALSE)</f>
        <v>OPR</v>
      </c>
      <c r="H35" s="38">
        <f t="shared" si="3"/>
        <v>1</v>
      </c>
      <c r="I35" s="96" t="str">
        <f t="shared" si="4"/>
        <v/>
      </c>
      <c r="J35" s="97"/>
      <c r="K35" s="98" t="str">
        <f t="shared" si="5"/>
        <v/>
      </c>
      <c r="L35" s="92" t="str">
        <f>IF(LEN(K35)&lt;1,"",IF(K35=RIGHT(M847E!$AW$18,3),"START",CONCATENATE("LABEL",RIGHT(K35,2))))</f>
        <v/>
      </c>
      <c r="M35" s="98" t="str">
        <f t="shared" si="6"/>
        <v/>
      </c>
      <c r="N35" s="92" t="str">
        <f t="shared" si="0"/>
        <v/>
      </c>
      <c r="O35" s="93" t="str">
        <f t="shared" si="1"/>
        <v/>
      </c>
      <c r="P35" s="99" t="str">
        <f>IF(AND(G35="OPR",H35=0),CONCATENATE(IF(_xlfn.BITAND(OCT2DEC(RIGHT(F35,3)),PDP8E!C$14),PDP8E!D$14,""),IF(_xlfn.BITAND(OCT2DEC(RIGHT(F35,3)),PDP8E!C$15),PDP8E!D$15,""),IF(_xlfn.BITAND(OCT2DEC(RIGHT(F35,3)),PDP8E!C$16),PDP8E!D$16,""),IF(_xlfn.BITAND(OCT2DEC(RIGHT(F35,3)),PDP8E!C$17),PDP8E!D$17,""),IF(_xlfn.BITAND(OCT2DEC(RIGHT(F35,3)),PDP8E!C$18),PDP8E!D$18,""),IF(_xlfn.BITAND(OCT2DEC(F35),14)=PDP8E!C$19,PDP8E!D$19,""),IF(_xlfn.BITAND(OCT2DEC(F35),14)=PDP8E!C$20,PDP8E!D$20,""),IF(_xlfn.BITAND(OCT2DEC(F35),14)=PDP8E!C$21,PDP8E!D$21,""),IF(_xlfn.BITAND(OCT2DEC(F35),14)=PDP8E!C$22,PDP8E!D$22,"")),"")</f>
        <v/>
      </c>
      <c r="Q35" s="100" t="str">
        <f>IF(AND(G35="OPR",H35=1),CONCATENATE(IF(_xlfn.BITAND(OCT2DEC(F35),120)=PDP8E!C$24,PDP8E!D$24,""),IF(_xlfn.BITAND(OCT2DEC(F35),120)=PDP8E!C$25,PDP8E!D$25,""),IF(_xlfn.BITAND(OCT2DEC(F35),120)=PDP8E!C$26,PDP8E!D$26,""),IF(_xlfn.BITAND(OCT2DEC(F35),120)=PDP8E!C$27,PDP8E!D$27,""),IF(_xlfn.BITAND(OCT2DEC(F35),120)=PDP8E!C$28,PDP8E!D$28,""),IF(_xlfn.BITAND(OCT2DEC(F35),120)=PDP8E!C$29,PDP8E!D$29,""),IF(_xlfn.BITAND(OCT2DEC(F35),120)=PDP8E!C$30,PDP8E!D$30,""),IF(_xlfn.BITAND(OCT2DEC(F35),PDP8E!C$31)=PDP8E!C$31,PDP8E!D$31,""),IF(_xlfn.BITAND(OCT2DEC(F35),PDP8E!C$32)=PDP8E!C$32,PDP8E!D$32,""),IF(_xlfn.BITAND(OCT2DEC(F35),PDP8E!C$33)=PDP8E!C$33,PDP8E!D$33,"")),"")</f>
        <v xml:space="preserve">CLA OSR HLT </v>
      </c>
      <c r="R35" s="99" t="str">
        <f>IF(ISNA(MATCH($F35,Installed!$L$6:$L$225,0)),"",VLOOKUP($F35,Installed!$L$6:$N$225,2,0))</f>
        <v/>
      </c>
      <c r="S35" s="101" t="str">
        <f>IF(ISNA(MATCH($F35,Installed!$L$6:$L$225,0)),"",CONCATENATE(VLOOKUP($F35,Installed!$L$6:$O$225,4,0),": ",VLOOKUP($F35,Installed!$L$6:$O$225,3,0)))</f>
        <v/>
      </c>
      <c r="T35" s="185" t="s">
        <v>823</v>
      </c>
      <c r="U35" s="8"/>
    </row>
    <row r="36" spans="1:21" x14ac:dyDescent="0.2">
      <c r="A36" s="8"/>
      <c r="B36" s="56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/>
  </sheetViews>
  <sheetFormatPr baseColWidth="10" defaultRowHeight="16" x14ac:dyDescent="0.2"/>
  <cols>
    <col min="1" max="1" width="4.33203125" customWidth="1"/>
    <col min="2" max="2" width="8.1640625" style="2" customWidth="1"/>
    <col min="3" max="3" width="9" style="2" customWidth="1"/>
    <col min="4" max="4" width="18.1640625" customWidth="1"/>
    <col min="5" max="5" width="17.83203125" customWidth="1"/>
    <col min="6" max="6" width="74.6640625" customWidth="1"/>
    <col min="7" max="7" width="4.83203125" customWidth="1"/>
  </cols>
  <sheetData>
    <row r="1" spans="1:7" ht="17" thickTop="1" x14ac:dyDescent="0.2">
      <c r="A1" s="193"/>
      <c r="B1" s="219"/>
      <c r="C1" s="219"/>
      <c r="D1" s="194"/>
      <c r="E1" s="194"/>
      <c r="F1" s="194"/>
      <c r="G1" s="195"/>
    </row>
    <row r="2" spans="1:7" x14ac:dyDescent="0.2">
      <c r="A2" s="202"/>
      <c r="B2" s="206" t="str">
        <f>CONCATENATE(Instructions!C2," ",Instructions!C3)</f>
        <v>M847E Boot Module Disassembler Version 1.01</v>
      </c>
      <c r="C2" s="200"/>
      <c r="D2" s="110"/>
      <c r="E2" s="110"/>
      <c r="F2" s="110"/>
      <c r="G2" s="204"/>
    </row>
    <row r="3" spans="1:7" x14ac:dyDescent="0.2">
      <c r="A3" s="202"/>
      <c r="B3" s="206" t="str">
        <f>Instructions!C4</f>
        <v>By Martin Eberhard</v>
      </c>
      <c r="C3" s="200"/>
      <c r="D3" s="221">
        <f>Instructions!C5</f>
        <v>43378</v>
      </c>
      <c r="E3" s="110"/>
      <c r="F3" s="110"/>
      <c r="G3" s="204"/>
    </row>
    <row r="4" spans="1:7" x14ac:dyDescent="0.2">
      <c r="A4" s="202"/>
      <c r="B4" s="200"/>
      <c r="C4" s="200"/>
      <c r="D4" s="110"/>
      <c r="E4" s="110"/>
      <c r="F4" s="110"/>
      <c r="G4" s="204"/>
    </row>
    <row r="5" spans="1:7" x14ac:dyDescent="0.2">
      <c r="A5" s="202"/>
      <c r="B5" s="106" t="s">
        <v>757</v>
      </c>
      <c r="C5" s="106" t="s">
        <v>758</v>
      </c>
      <c r="D5" s="111" t="str">
        <f>CONCATENATE("*",Disassembly!E4)</f>
        <v>*0024</v>
      </c>
      <c r="E5" s="112"/>
      <c r="F5" s="113"/>
      <c r="G5" s="204"/>
    </row>
    <row r="6" spans="1:7" x14ac:dyDescent="0.2">
      <c r="A6" s="202"/>
      <c r="B6" s="107" t="str">
        <f>Disassembly!E4</f>
        <v>0024</v>
      </c>
      <c r="C6" s="107" t="str">
        <f>TEXT(Disassembly!F4,"0000")</f>
        <v>7126</v>
      </c>
      <c r="D6" s="114" t="str">
        <f>IF(LEN(Disassembly!C4)&lt;1,"",CONCATENATE(IF(LEN(Disassembly!B4)&lt;1,Disassembly!C4,Disassembly!B4),","))</f>
        <v>READ,</v>
      </c>
      <c r="E6" s="115" t="str">
        <f>IF(Disassembly!G4="OPR",IF(Disassembly!H4=0,Disassembly!P4,Disassembly!Q4),IF(Disassembly!G4="IOT",IF(ISBLANK(Disassembly!R4),"IOT",Disassembly!R4),CONCATENATE(Disassembly!G4," ",IF(Disassembly!H4=1,"I ",""),Disassembly!M4)))</f>
        <v xml:space="preserve">CLL CML RTL </v>
      </c>
      <c r="F6" s="116" t="str">
        <f>IF(OR(LEN(Disassembly!S4)&gt;0,LEN(Disassembly!T4)&gt;0),CONCATENATE("/",Disassembly!S4," ",Disassembly!T4),"")</f>
        <v/>
      </c>
      <c r="G6" s="204"/>
    </row>
    <row r="7" spans="1:7" x14ac:dyDescent="0.2">
      <c r="A7" s="202"/>
      <c r="B7" s="107" t="str">
        <f>Disassembly!E5</f>
        <v>0025</v>
      </c>
      <c r="C7" s="107" t="str">
        <f>TEXT(Disassembly!F5,"0000")</f>
        <v>1060</v>
      </c>
      <c r="D7" s="114" t="str">
        <f>IF(LEN(Disassembly!C5)&lt;1,"",CONCATENATE(IF(LEN(Disassembly!B5)&lt;1,Disassembly!C5,Disassembly!B5),","))</f>
        <v/>
      </c>
      <c r="E7" s="115" t="str">
        <f>IF(Disassembly!G5="OPR",IF(Disassembly!H5=0,Disassembly!P5,Disassembly!Q5),IF(Disassembly!G5="IOT",IF(ISBLANK(Disassembly!R5),"IOT",Disassembly!R5),CONCATENATE(Disassembly!G5," ",IF(Disassembly!H5=1,"I ",""),Disassembly!M5)))</f>
        <v>TAD RX1SAV</v>
      </c>
      <c r="F7" s="116" t="str">
        <f>IF(OR(LEN(Disassembly!S5)&gt;0,LEN(Disassembly!T5)&gt;0),CONCATENATE("/",Disassembly!S5," ",Disassembly!T5),"")</f>
        <v/>
      </c>
      <c r="G7" s="204"/>
    </row>
    <row r="8" spans="1:7" x14ac:dyDescent="0.2">
      <c r="A8" s="202"/>
      <c r="B8" s="107" t="str">
        <f>Disassembly!E6</f>
        <v>0026</v>
      </c>
      <c r="C8" s="107" t="str">
        <f>TEXT(Disassembly!F6,"0000")</f>
        <v>6751</v>
      </c>
      <c r="D8" s="114" t="str">
        <f>IF(LEN(Disassembly!C6)&lt;1,"",CONCATENATE(IF(LEN(Disassembly!B6)&lt;1,Disassembly!C6,Disassembly!B6),","))</f>
        <v/>
      </c>
      <c r="E8" s="115" t="str">
        <f>IF(Disassembly!G6="OPR",IF(Disassembly!H6=0,Disassembly!P6,Disassembly!Q6),IF(Disassembly!G6="IOT",IF(ISBLANK(Disassembly!R6),"IOT",Disassembly!R6),CONCATENATE(Disassembly!G6," ",IF(Disassembly!H6=1,"I ",""),Disassembly!M6)))</f>
        <v>LCD</v>
      </c>
      <c r="F8" s="116" t="str">
        <f>IF(OR(LEN(Disassembly!S6)&gt;0,LEN(Disassembly!T6)&gt;0),CONCATENATE("/",Disassembly!S6," ",Disassembly!T6),"")</f>
        <v xml:space="preserve">/RX28: Load Command, Clear AC </v>
      </c>
      <c r="G8" s="204"/>
    </row>
    <row r="9" spans="1:7" x14ac:dyDescent="0.2">
      <c r="A9" s="202"/>
      <c r="B9" s="107" t="str">
        <f>Disassembly!E7</f>
        <v>0027</v>
      </c>
      <c r="C9" s="107" t="str">
        <f>TEXT(Disassembly!F7,"0000")</f>
        <v>7201</v>
      </c>
      <c r="D9" s="114" t="str">
        <f>IF(LEN(Disassembly!C7)&lt;1,"",CONCATENATE(IF(LEN(Disassembly!B7)&lt;1,Disassembly!C7,Disassembly!B7),","))</f>
        <v/>
      </c>
      <c r="E9" s="115" t="str">
        <f>IF(Disassembly!G7="OPR",IF(Disassembly!H7=0,Disassembly!P7,Disassembly!Q7),IF(Disassembly!G7="IOT",IF(ISBLANK(Disassembly!R7),"IOT",Disassembly!R7),CONCATENATE(Disassembly!G7," ",IF(Disassembly!H7=1,"I ",""),Disassembly!M7)))</f>
        <v xml:space="preserve">CLA IAC </v>
      </c>
      <c r="F9" s="116" t="str">
        <f>IF(OR(LEN(Disassembly!S7)&gt;0,LEN(Disassembly!T7)&gt;0),CONCATENATE("/",Disassembly!S7," ",Disassembly!T7),"")</f>
        <v>/ AC := 0001</v>
      </c>
      <c r="G9" s="204"/>
    </row>
    <row r="10" spans="1:7" x14ac:dyDescent="0.2">
      <c r="A10" s="202"/>
      <c r="B10" s="107" t="str">
        <f>Disassembly!E8</f>
        <v>0030</v>
      </c>
      <c r="C10" s="107" t="str">
        <f>TEXT(Disassembly!F8,"0000")</f>
        <v>4053</v>
      </c>
      <c r="D10" s="114" t="str">
        <f>IF(LEN(Disassembly!C8)&lt;1,"",CONCATENATE(IF(LEN(Disassembly!B8)&lt;1,Disassembly!C8,Disassembly!B8),","))</f>
        <v/>
      </c>
      <c r="E10" s="115" t="str">
        <f>IF(Disassembly!G8="OPR",IF(Disassembly!H8=0,Disassembly!P8,Disassembly!Q8),IF(Disassembly!G8="IOT",IF(ISBLANK(Disassembly!R8),"IOT",Disassembly!R8),CONCATENATE(Disassembly!G8," ",IF(Disassembly!H8=1,"I ",""),Disassembly!M8)))</f>
        <v>JMS LOAD</v>
      </c>
      <c r="F10" s="116" t="str">
        <f>IF(OR(LEN(Disassembly!S8)&gt;0,LEN(Disassembly!T8)&gt;0),CONCATENATE("/",Disassembly!S8," ",Disassembly!T8),"")</f>
        <v/>
      </c>
      <c r="G10" s="204"/>
    </row>
    <row r="11" spans="1:7" x14ac:dyDescent="0.2">
      <c r="A11" s="202"/>
      <c r="B11" s="107" t="str">
        <f>Disassembly!E9</f>
        <v>0031</v>
      </c>
      <c r="C11" s="107" t="str">
        <f>TEXT(Disassembly!F9,"0000")</f>
        <v>4053</v>
      </c>
      <c r="D11" s="114" t="str">
        <f>IF(LEN(Disassembly!C9)&lt;1,"",CONCATENATE(IF(LEN(Disassembly!B9)&lt;1,Disassembly!C9,Disassembly!B9),","))</f>
        <v/>
      </c>
      <c r="E11" s="115" t="str">
        <f>IF(Disassembly!G9="OPR",IF(Disassembly!H9=0,Disassembly!P9,Disassembly!Q9),IF(Disassembly!G9="IOT",IF(ISBLANK(Disassembly!R9),"IOT",Disassembly!R9),CONCATENATE(Disassembly!G9," ",IF(Disassembly!H9=1,"I ",""),Disassembly!M9)))</f>
        <v>JMS LOAD</v>
      </c>
      <c r="F11" s="116" t="str">
        <f>IF(OR(LEN(Disassembly!S9)&gt;0,LEN(Disassembly!T9)&gt;0),CONCATENATE("/",Disassembly!S9," ",Disassembly!T9),"")</f>
        <v/>
      </c>
      <c r="G11" s="204"/>
    </row>
    <row r="12" spans="1:7" x14ac:dyDescent="0.2">
      <c r="A12" s="202"/>
      <c r="B12" s="107" t="str">
        <f>Disassembly!E10</f>
        <v>0032</v>
      </c>
      <c r="C12" s="107" t="str">
        <f>TEXT(Disassembly!F10,"0000")</f>
        <v>7104</v>
      </c>
      <c r="D12" s="114" t="str">
        <f>IF(LEN(Disassembly!C10)&lt;1,"",CONCATENATE(IF(LEN(Disassembly!B10)&lt;1,Disassembly!C10,Disassembly!B10),","))</f>
        <v/>
      </c>
      <c r="E12" s="115" t="str">
        <f>IF(Disassembly!G10="OPR",IF(Disassembly!H10=0,Disassembly!P10,Disassembly!Q10),IF(Disassembly!G10="IOT",IF(ISBLANK(Disassembly!R10),"IOT",Disassembly!R10),CONCATENATE(Disassembly!G10," ",IF(Disassembly!H10=1,"I ",""),Disassembly!M10)))</f>
        <v xml:space="preserve">CLL RAL </v>
      </c>
      <c r="F12" s="116" t="str">
        <f>IF(OR(LEN(Disassembly!S10)&gt;0,LEN(Disassembly!T10)&gt;0),CONCATENATE("/",Disassembly!S10," ",Disassembly!T10),"")</f>
        <v/>
      </c>
      <c r="G12" s="204"/>
    </row>
    <row r="13" spans="1:7" x14ac:dyDescent="0.2">
      <c r="A13" s="202"/>
      <c r="B13" s="107" t="str">
        <f>Disassembly!E11</f>
        <v>0033</v>
      </c>
      <c r="C13" s="107" t="str">
        <f>TEXT(Disassembly!F11,"0000")</f>
        <v>6755</v>
      </c>
      <c r="D13" s="114" t="str">
        <f>IF(LEN(Disassembly!C11)&lt;1,"",CONCATENATE(IF(LEN(Disassembly!B11)&lt;1,Disassembly!C11,Disassembly!B11),","))</f>
        <v>START,</v>
      </c>
      <c r="E13" s="115" t="str">
        <f>IF(Disassembly!G11="OPR",IF(Disassembly!H11=0,Disassembly!P11,Disassembly!Q11),IF(Disassembly!G11="IOT",IF(ISBLANK(Disassembly!R11),"IOT",Disassembly!R11),CONCATENATE(Disassembly!G11," ",IF(Disassembly!H11=1,"I ",""),Disassembly!M11)))</f>
        <v>SDN</v>
      </c>
      <c r="F13" s="116" t="str">
        <f>IF(OR(LEN(Disassembly!S11)&gt;0,LEN(Disassembly!T11)&gt;0),CONCATENATE("/",Disassembly!S11," ",Disassembly!T11),"")</f>
        <v xml:space="preserve">/RX28: Skip on Done Flag, Clear Flag </v>
      </c>
      <c r="G13" s="204"/>
    </row>
    <row r="14" spans="1:7" x14ac:dyDescent="0.2">
      <c r="A14" s="202"/>
      <c r="B14" s="107" t="str">
        <f>Disassembly!E12</f>
        <v>0034</v>
      </c>
      <c r="C14" s="107" t="str">
        <f>TEXT(Disassembly!F12,"0000")</f>
        <v>5054</v>
      </c>
      <c r="D14" s="114" t="str">
        <f>IF(LEN(Disassembly!C12)&lt;1,"",CONCATENATE(IF(LEN(Disassembly!B12)&lt;1,Disassembly!C12,Disassembly!B12),","))</f>
        <v/>
      </c>
      <c r="E14" s="115" t="str">
        <f>IF(Disassembly!G12="OPR",IF(Disassembly!H12=0,Disassembly!P12,Disassembly!Q12),IF(Disassembly!G12="IOT",IF(ISBLANK(Disassembly!R12),"IOT",Disassembly!R12),CONCATENATE(Disassembly!G12," ",IF(Disassembly!H12=1,"I ",""),Disassembly!M12)))</f>
        <v>JMP LABEL54</v>
      </c>
      <c r="F14" s="116" t="str">
        <f>IF(OR(LEN(Disassembly!S12)&gt;0,LEN(Disassembly!T12)&gt;0),CONCATENATE("/",Disassembly!S12," ",Disassembly!T12),"")</f>
        <v/>
      </c>
      <c r="G14" s="204"/>
    </row>
    <row r="15" spans="1:7" x14ac:dyDescent="0.2">
      <c r="A15" s="202"/>
      <c r="B15" s="107" t="str">
        <f>Disassembly!E13</f>
        <v>0035</v>
      </c>
      <c r="C15" s="107" t="str">
        <f>TEXT(Disassembly!F13,"0000")</f>
        <v>6754</v>
      </c>
      <c r="D15" s="114" t="str">
        <f>IF(LEN(Disassembly!C13)&lt;1,"",CONCATENATE(IF(LEN(Disassembly!B13)&lt;1,Disassembly!C13,Disassembly!B13),","))</f>
        <v/>
      </c>
      <c r="E15" s="115" t="str">
        <f>IF(Disassembly!G13="OPR",IF(Disassembly!H13=0,Disassembly!P13,Disassembly!Q13),IF(Disassembly!G13="IOT",IF(ISBLANK(Disassembly!R13),"IOT",Disassembly!R13),CONCATENATE(Disassembly!G13," ",IF(Disassembly!H13=1,"I ",""),Disassembly!M13)))</f>
        <v>SER</v>
      </c>
      <c r="F15" s="116" t="str">
        <f>IF(OR(LEN(Disassembly!S13)&gt;0,LEN(Disassembly!T13)&gt;0),CONCATENATE("/",Disassembly!S13," ",Disassembly!T13),"")</f>
        <v xml:space="preserve">/RX28: Skip on Error Flag, Clear Flag </v>
      </c>
      <c r="G15" s="204"/>
    </row>
    <row r="16" spans="1:7" x14ac:dyDescent="0.2">
      <c r="A16" s="202"/>
      <c r="B16" s="107" t="str">
        <f>Disassembly!E14</f>
        <v>0036</v>
      </c>
      <c r="C16" s="107" t="str">
        <f>TEXT(Disassembly!F14,"0000")</f>
        <v>7450</v>
      </c>
      <c r="D16" s="114" t="str">
        <f>IF(LEN(Disassembly!C14)&lt;1,"",CONCATENATE(IF(LEN(Disassembly!B14)&lt;1,Disassembly!C14,Disassembly!B14),","))</f>
        <v/>
      </c>
      <c r="E16" s="115" t="str">
        <f>IF(Disassembly!G14="OPR",IF(Disassembly!H14=0,Disassembly!P14,Disassembly!Q14),IF(Disassembly!G14="IOT",IF(ISBLANK(Disassembly!R14),"IOT",Disassembly!R14),CONCATENATE(Disassembly!G14," ",IF(Disassembly!H14=1,"I ",""),Disassembly!M14)))</f>
        <v xml:space="preserve">SNA </v>
      </c>
      <c r="F16" s="116" t="str">
        <f>IF(OR(LEN(Disassembly!S14)&gt;0,LEN(Disassembly!T14)&gt;0),CONCATENATE("/",Disassembly!S14," ",Disassembly!T14),"")</f>
        <v>/ skip on AC &lt;&gt; 0</v>
      </c>
      <c r="G16" s="204"/>
    </row>
    <row r="17" spans="1:7" x14ac:dyDescent="0.2">
      <c r="A17" s="202"/>
      <c r="B17" s="107" t="str">
        <f>Disassembly!E15</f>
        <v>0037</v>
      </c>
      <c r="C17" s="107" t="str">
        <f>TEXT(Disassembly!F15,"0000")</f>
        <v>7610</v>
      </c>
      <c r="D17" s="114" t="str">
        <f>IF(LEN(Disassembly!C15)&lt;1,"",CONCATENATE(IF(LEN(Disassembly!B15)&lt;1,Disassembly!C15,Disassembly!B15),","))</f>
        <v/>
      </c>
      <c r="E17" s="115" t="str">
        <f>IF(Disassembly!G15="OPR",IF(Disassembly!H15=0,Disassembly!P15,Disassembly!Q15),IF(Disassembly!G15="IOT",IF(ISBLANK(Disassembly!R15),"IOT",Disassembly!R15),CONCATENATE(Disassembly!G15," ",IF(Disassembly!H15=1,"I ",""),Disassembly!M15)))</f>
        <v xml:space="preserve">SKP CLA </v>
      </c>
      <c r="F17" s="116" t="str">
        <f>IF(OR(LEN(Disassembly!S15)&gt;0,LEN(Disassembly!T15)&gt;0),CONCATENATE("/",Disassembly!S15," ",Disassembly!T15),"")</f>
        <v/>
      </c>
      <c r="G17" s="204"/>
    </row>
    <row r="18" spans="1:7" x14ac:dyDescent="0.2">
      <c r="A18" s="202"/>
      <c r="B18" s="107" t="str">
        <f>Disassembly!E16</f>
        <v>0040</v>
      </c>
      <c r="C18" s="107" t="str">
        <f>TEXT(Disassembly!F16,"0000")</f>
        <v>5046</v>
      </c>
      <c r="D18" s="114" t="str">
        <f>IF(LEN(Disassembly!C16)&lt;1,"",CONCATENATE(IF(LEN(Disassembly!B16)&lt;1,Disassembly!C16,Disassembly!B16),","))</f>
        <v/>
      </c>
      <c r="E18" s="115" t="str">
        <f>IF(Disassembly!G16="OPR",IF(Disassembly!H16=0,Disassembly!P16,Disassembly!Q16),IF(Disassembly!G16="IOT",IF(ISBLANK(Disassembly!R16),"IOT",Disassembly!R16),CONCATENATE(Disassembly!G16," ",IF(Disassembly!H16=1,"I ",""),Disassembly!M16)))</f>
        <v>JMP WAITS</v>
      </c>
      <c r="F18" s="116" t="str">
        <f>IF(OR(LEN(Disassembly!S16)&gt;0,LEN(Disassembly!T16)&gt;0),CONCATENATE("/",Disassembly!S16," ",Disassembly!T16),"")</f>
        <v/>
      </c>
      <c r="G18" s="204"/>
    </row>
    <row r="19" spans="1:7" x14ac:dyDescent="0.2">
      <c r="A19" s="202"/>
      <c r="B19" s="107" t="str">
        <f>Disassembly!E17</f>
        <v>0041</v>
      </c>
      <c r="C19" s="107" t="str">
        <f>TEXT(Disassembly!F17,"0000")</f>
        <v>1060</v>
      </c>
      <c r="D19" s="114" t="str">
        <f>IF(LEN(Disassembly!C17)&lt;1,"",CONCATENATE(IF(LEN(Disassembly!B17)&lt;1,Disassembly!C17,Disassembly!B17),","))</f>
        <v/>
      </c>
      <c r="E19" s="115" t="str">
        <f>IF(Disassembly!G17="OPR",IF(Disassembly!H17=0,Disassembly!P17,Disassembly!Q17),IF(Disassembly!G17="IOT",IF(ISBLANK(Disassembly!R17),"IOT",Disassembly!R17),CONCATENATE(Disassembly!G17," ",IF(Disassembly!H17=1,"I ",""),Disassembly!M17)))</f>
        <v>TAD RX1SAV</v>
      </c>
      <c r="F19" s="116" t="str">
        <f>IF(OR(LEN(Disassembly!S17)&gt;0,LEN(Disassembly!T17)&gt;0),CONCATENATE("/",Disassembly!S17," ",Disassembly!T17),"")</f>
        <v/>
      </c>
      <c r="G19" s="204"/>
    </row>
    <row r="20" spans="1:7" x14ac:dyDescent="0.2">
      <c r="A20" s="202"/>
      <c r="B20" s="107" t="str">
        <f>Disassembly!E18</f>
        <v>0042</v>
      </c>
      <c r="C20" s="107" t="str">
        <f>TEXT(Disassembly!F18,"0000")</f>
        <v>7041</v>
      </c>
      <c r="D20" s="114" t="str">
        <f>IF(LEN(Disassembly!C18)&lt;1,"",CONCATENATE(IF(LEN(Disassembly!B18)&lt;1,Disassembly!C18,Disassembly!B18),","))</f>
        <v/>
      </c>
      <c r="E20" s="115" t="str">
        <f>IF(Disassembly!G18="OPR",IF(Disassembly!H18=0,Disassembly!P18,Disassembly!Q18),IF(Disassembly!G18="IOT",IF(ISBLANK(Disassembly!R18),"IOT",Disassembly!R18),CONCATENATE(Disassembly!G18," ",IF(Disassembly!H18=1,"I ",""),Disassembly!M18)))</f>
        <v xml:space="preserve">CMA IAC </v>
      </c>
      <c r="F20" s="116" t="str">
        <f>IF(OR(LEN(Disassembly!S18)&gt;0,LEN(Disassembly!T18)&gt;0),CONCATENATE("/",Disassembly!S18," ",Disassembly!T18),"")</f>
        <v>/ CIA - Complement &amp; Increment AC</v>
      </c>
      <c r="G20" s="204"/>
    </row>
    <row r="21" spans="1:7" x14ac:dyDescent="0.2">
      <c r="A21" s="202"/>
      <c r="B21" s="107" t="str">
        <f>Disassembly!E19</f>
        <v>0043</v>
      </c>
      <c r="C21" s="107" t="str">
        <f>TEXT(Disassembly!F19,"0000")</f>
        <v>1061</v>
      </c>
      <c r="D21" s="114" t="str">
        <f>IF(LEN(Disassembly!C19)&lt;1,"",CONCATENATE(IF(LEN(Disassembly!B19)&lt;1,Disassembly!C19,Disassembly!B19),","))</f>
        <v/>
      </c>
      <c r="E21" s="115" t="str">
        <f>IF(Disassembly!G19="OPR",IF(Disassembly!H19=0,Disassembly!P19,Disassembly!Q19),IF(Disassembly!G19="IOT",IF(ISBLANK(Disassembly!R19),"IOT",Disassembly!R19),CONCATENATE(Disassembly!G19," ",IF(Disassembly!H19=1,"I ",""),Disassembly!M19)))</f>
        <v>TAD UNIT</v>
      </c>
      <c r="F21" s="116" t="str">
        <f>IF(OR(LEN(Disassembly!S19)&gt;0,LEN(Disassembly!T19)&gt;0),CONCATENATE("/",Disassembly!S19," ",Disassembly!T19),"")</f>
        <v/>
      </c>
      <c r="G21" s="204"/>
    </row>
    <row r="22" spans="1:7" x14ac:dyDescent="0.2">
      <c r="A22" s="202"/>
      <c r="B22" s="107" t="str">
        <f>Disassembly!E20</f>
        <v>0044</v>
      </c>
      <c r="C22" s="107" t="str">
        <f>TEXT(Disassembly!F20,"0000")</f>
        <v>3060</v>
      </c>
      <c r="D22" s="114" t="str">
        <f>IF(LEN(Disassembly!C20)&lt;1,"",CONCATENATE(IF(LEN(Disassembly!B20)&lt;1,Disassembly!C20,Disassembly!B20),","))</f>
        <v/>
      </c>
      <c r="E22" s="115" t="str">
        <f>IF(Disassembly!G20="OPR",IF(Disassembly!H20=0,Disassembly!P20,Disassembly!Q20),IF(Disassembly!G20="IOT",IF(ISBLANK(Disassembly!R20),"IOT",Disassembly!R20),CONCATENATE(Disassembly!G20," ",IF(Disassembly!H20=1,"I ",""),Disassembly!M20)))</f>
        <v>DCA RX1SAV</v>
      </c>
      <c r="F22" s="116" t="str">
        <f>IF(OR(LEN(Disassembly!S20)&gt;0,LEN(Disassembly!T20)&gt;0),CONCATENATE("/",Disassembly!S20," ",Disassembly!T20),"")</f>
        <v/>
      </c>
      <c r="G22" s="204"/>
    </row>
    <row r="23" spans="1:7" x14ac:dyDescent="0.2">
      <c r="A23" s="202"/>
      <c r="B23" s="107" t="str">
        <f>Disassembly!E21</f>
        <v>0045</v>
      </c>
      <c r="C23" s="107" t="str">
        <f>TEXT(Disassembly!F21,"0000")</f>
        <v>5024</v>
      </c>
      <c r="D23" s="114" t="str">
        <f>IF(LEN(Disassembly!C21)&lt;1,"",CONCATENATE(IF(LEN(Disassembly!B21)&lt;1,Disassembly!C21,Disassembly!B21),","))</f>
        <v/>
      </c>
      <c r="E23" s="115" t="str">
        <f>IF(Disassembly!G21="OPR",IF(Disassembly!H21=0,Disassembly!P21,Disassembly!Q21),IF(Disassembly!G21="IOT",IF(ISBLANK(Disassembly!R21),"IOT",Disassembly!R21),CONCATENATE(Disassembly!G21," ",IF(Disassembly!H21=1,"I ",""),Disassembly!M21)))</f>
        <v>JMP READ</v>
      </c>
      <c r="F23" s="116" t="str">
        <f>IF(OR(LEN(Disassembly!S21)&gt;0,LEN(Disassembly!T21)&gt;0),CONCATENATE("/",Disassembly!S21," ",Disassembly!T21),"")</f>
        <v/>
      </c>
      <c r="G23" s="204"/>
    </row>
    <row r="24" spans="1:7" x14ac:dyDescent="0.2">
      <c r="A24" s="202"/>
      <c r="B24" s="107" t="str">
        <f>Disassembly!E22</f>
        <v>0046</v>
      </c>
      <c r="C24" s="107" t="str">
        <f>TEXT(Disassembly!F22,"0000")</f>
        <v>6751</v>
      </c>
      <c r="D24" s="114" t="str">
        <f>IF(LEN(Disassembly!C22)&lt;1,"",CONCATENATE(IF(LEN(Disassembly!B22)&lt;1,Disassembly!C22,Disassembly!B22),","))</f>
        <v>WAITS,</v>
      </c>
      <c r="E24" s="115" t="str">
        <f>IF(Disassembly!G22="OPR",IF(Disassembly!H22=0,Disassembly!P22,Disassembly!Q22),IF(Disassembly!G22="IOT",IF(ISBLANK(Disassembly!R22),"IOT",Disassembly!R22),CONCATENATE(Disassembly!G22," ",IF(Disassembly!H22=1,"I ",""),Disassembly!M22)))</f>
        <v>LCD</v>
      </c>
      <c r="F24" s="116" t="str">
        <f>IF(OR(LEN(Disassembly!S22)&gt;0,LEN(Disassembly!T22)&gt;0),CONCATENATE("/",Disassembly!S22," ",Disassembly!T22),"")</f>
        <v xml:space="preserve">/RX28: Load Command, Clear AC </v>
      </c>
      <c r="G24" s="204"/>
    </row>
    <row r="25" spans="1:7" x14ac:dyDescent="0.2">
      <c r="A25" s="202"/>
      <c r="B25" s="107" t="str">
        <f>Disassembly!E23</f>
        <v>0047</v>
      </c>
      <c r="C25" s="107" t="str">
        <f>TEXT(Disassembly!F23,"0000")</f>
        <v>4053</v>
      </c>
      <c r="D25" s="114" t="str">
        <f>IF(LEN(Disassembly!C23)&lt;1,"",CONCATENATE(IF(LEN(Disassembly!B23)&lt;1,Disassembly!C23,Disassembly!B23),","))</f>
        <v>WAIT,</v>
      </c>
      <c r="E25" s="115" t="str">
        <f>IF(Disassembly!G23="OPR",IF(Disassembly!H23=0,Disassembly!P23,Disassembly!Q23),IF(Disassembly!G23="IOT",IF(ISBLANK(Disassembly!R23),"IOT",Disassembly!R23),CONCATENATE(Disassembly!G23," ",IF(Disassembly!H23=1,"I ",""),Disassembly!M23)))</f>
        <v>JMS LOAD</v>
      </c>
      <c r="F25" s="116" t="str">
        <f>IF(OR(LEN(Disassembly!S23)&gt;0,LEN(Disassembly!T23)&gt;0),CONCATENATE("/",Disassembly!S23," ",Disassembly!T23),"")</f>
        <v>/ Grab next item from silo</v>
      </c>
      <c r="G25" s="204"/>
    </row>
    <row r="26" spans="1:7" x14ac:dyDescent="0.2">
      <c r="A26" s="202"/>
      <c r="B26" s="107" t="str">
        <f>Disassembly!E24</f>
        <v>0050</v>
      </c>
      <c r="C26" s="107" t="str">
        <f>TEXT(Disassembly!F24,"0000")</f>
        <v>3002</v>
      </c>
      <c r="D26" s="114" t="str">
        <f>IF(LEN(Disassembly!C24)&lt;1,"",CONCATENATE(IF(LEN(Disassembly!B24)&lt;1,Disassembly!C24,Disassembly!B24),","))</f>
        <v>CORE,</v>
      </c>
      <c r="E26" s="115" t="str">
        <f>IF(Disassembly!G24="OPR",IF(Disassembly!H24=0,Disassembly!P24,Disassembly!Q24),IF(Disassembly!G24="IOT",IF(ISBLANK(Disassembly!R24),"IOT",Disassembly!R24),CONCATENATE(Disassembly!G24," ",IF(Disassembly!H24=1,"I ",""),Disassembly!M24)))</f>
        <v>DCA LABEL02</v>
      </c>
      <c r="F26" s="116" t="str">
        <f>IF(OR(LEN(Disassembly!S24)&gt;0,LEN(Disassembly!T24)&gt;0),CONCATENATE("/",Disassembly!S24," ",Disassembly!T24),"")</f>
        <v>/ Tradition; secondary boot starts loading at 2</v>
      </c>
      <c r="G26" s="204"/>
    </row>
    <row r="27" spans="1:7" x14ac:dyDescent="0.2">
      <c r="A27" s="202"/>
      <c r="B27" s="107" t="str">
        <f>Disassembly!E25</f>
        <v>0051</v>
      </c>
      <c r="C27" s="107" t="str">
        <f>TEXT(Disassembly!F25,"0000")</f>
        <v>2050</v>
      </c>
      <c r="D27" s="114" t="str">
        <f>IF(LEN(Disassembly!C25)&lt;1,"",CONCATENATE(IF(LEN(Disassembly!B25)&lt;1,Disassembly!C25,Disassembly!B25),","))</f>
        <v/>
      </c>
      <c r="E27" s="115" t="str">
        <f>IF(Disassembly!G25="OPR",IF(Disassembly!H25=0,Disassembly!P25,Disassembly!Q25),IF(Disassembly!G25="IOT",IF(ISBLANK(Disassembly!R25),"IOT",Disassembly!R25),CONCATENATE(Disassembly!G25," ",IF(Disassembly!H25=1,"I ",""),Disassembly!M25)))</f>
        <v>ISZ CORE</v>
      </c>
      <c r="F27" s="116" t="str">
        <f>IF(OR(LEN(Disassembly!S25)&gt;0,LEN(Disassembly!T25)&gt;0),CONCATENATE("/",Disassembly!S25," ",Disassembly!T25),"")</f>
        <v>/ Increment load address</v>
      </c>
      <c r="G27" s="204"/>
    </row>
    <row r="28" spans="1:7" x14ac:dyDescent="0.2">
      <c r="A28" s="202"/>
      <c r="B28" s="107" t="str">
        <f>Disassembly!E26</f>
        <v>0052</v>
      </c>
      <c r="C28" s="107" t="str">
        <f>TEXT(Disassembly!F26,"0000")</f>
        <v>5047</v>
      </c>
      <c r="D28" s="114" t="str">
        <f>IF(LEN(Disassembly!C26)&lt;1,"",CONCATENATE(IF(LEN(Disassembly!B26)&lt;1,Disassembly!C26,Disassembly!B26),","))</f>
        <v/>
      </c>
      <c r="E28" s="115" t="str">
        <f>IF(Disassembly!G26="OPR",IF(Disassembly!H26=0,Disassembly!P26,Disassembly!Q26),IF(Disassembly!G26="IOT",IF(ISBLANK(Disassembly!R26),"IOT",Disassembly!R26),CONCATENATE(Disassembly!G26," ",IF(Disassembly!H26=1,"I ",""),Disassembly!M26)))</f>
        <v>JMP WAIT</v>
      </c>
      <c r="F28" s="116" t="str">
        <f>IF(OR(LEN(Disassembly!S26)&gt;0,LEN(Disassembly!T26)&gt;0),CONCATENATE("/",Disassembly!S26," ",Disassembly!T26),"")</f>
        <v>/ Go back for another</v>
      </c>
      <c r="G28" s="204"/>
    </row>
    <row r="29" spans="1:7" x14ac:dyDescent="0.2">
      <c r="A29" s="202"/>
      <c r="B29" s="107" t="str">
        <f>Disassembly!E27</f>
        <v>0053</v>
      </c>
      <c r="C29" s="107" t="str">
        <f>TEXT(Disassembly!F27,"0000")</f>
        <v>0000</v>
      </c>
      <c r="D29" s="114" t="str">
        <f>IF(LEN(Disassembly!C27)&lt;1,"",CONCATENATE(IF(LEN(Disassembly!B27)&lt;1,Disassembly!C27,Disassembly!B27),","))</f>
        <v>LOAD,</v>
      </c>
      <c r="E29" s="115" t="str">
        <f>IF(Disassembly!G27="OPR",IF(Disassembly!H27=0,Disassembly!P27,Disassembly!Q27),IF(Disassembly!G27="IOT",IF(ISBLANK(Disassembly!R27),"IOT",Disassembly!R27),CONCATENATE(Disassembly!G27," ",IF(Disassembly!H27=1,"I ",""),Disassembly!M27)))</f>
        <v>AND LABEL00</v>
      </c>
      <c r="F29" s="116" t="str">
        <f>IF(OR(LEN(Disassembly!S27)&gt;0,LEN(Disassembly!T27)&gt;0),CONCATENATE("/",Disassembly!S27," ",Disassembly!T27),"")</f>
        <v>/ Subroutine to give and take data from controller</v>
      </c>
      <c r="G29" s="204"/>
    </row>
    <row r="30" spans="1:7" x14ac:dyDescent="0.2">
      <c r="A30" s="202"/>
      <c r="B30" s="107" t="str">
        <f>Disassembly!E28</f>
        <v>0054</v>
      </c>
      <c r="C30" s="107" t="str">
        <f>TEXT(Disassembly!F28,"0000")</f>
        <v>6753</v>
      </c>
      <c r="D30" s="114" t="str">
        <f>IF(LEN(Disassembly!C28)&lt;1,"",CONCATENATE(IF(LEN(Disassembly!B28)&lt;1,Disassembly!C28,Disassembly!B28),","))</f>
        <v>LABEL54,</v>
      </c>
      <c r="E30" s="115" t="str">
        <f>IF(Disassembly!G28="OPR",IF(Disassembly!H28=0,Disassembly!P28,Disassembly!Q28),IF(Disassembly!G28="IOT",IF(ISBLANK(Disassembly!R28),"IOT",Disassembly!R28),CONCATENATE(Disassembly!G28," ",IF(Disassembly!H28=1,"I ",""),Disassembly!M28)))</f>
        <v>STR</v>
      </c>
      <c r="F30" s="116" t="str">
        <f>IF(OR(LEN(Disassembly!S28)&gt;0,LEN(Disassembly!T28)&gt;0),CONCATENATE("/",Disassembly!S28," ",Disassembly!T28),"")</f>
        <v>/RX28: Skip on Transfer Request Flag, Clear Flag Is he ready to talk to us?</v>
      </c>
      <c r="G30" s="204"/>
    </row>
    <row r="31" spans="1:7" x14ac:dyDescent="0.2">
      <c r="A31" s="202"/>
      <c r="B31" s="107" t="str">
        <f>Disassembly!E29</f>
        <v>0055</v>
      </c>
      <c r="C31" s="107" t="str">
        <f>TEXT(Disassembly!F29,"0000")</f>
        <v>5033</v>
      </c>
      <c r="D31" s="114" t="str">
        <f>IF(LEN(Disassembly!C29)&lt;1,"",CONCATENATE(IF(LEN(Disassembly!B29)&lt;1,Disassembly!C29,Disassembly!B29),","))</f>
        <v/>
      </c>
      <c r="E31" s="115" t="str">
        <f>IF(Disassembly!G29="OPR",IF(Disassembly!H29=0,Disassembly!P29,Disassembly!Q29),IF(Disassembly!G29="IOT",IF(ISBLANK(Disassembly!R29),"IOT",Disassembly!R29),CONCATENATE(Disassembly!G29," ",IF(Disassembly!H29=1,"I ",""),Disassembly!M29)))</f>
        <v>JMP START</v>
      </c>
      <c r="F31" s="116" t="str">
        <f>IF(OR(LEN(Disassembly!S29)&gt;0,LEN(Disassembly!T29)&gt;0),CONCATENATE("/",Disassembly!S29," ",Disassembly!T29),"")</f>
        <v>/ No, is he perhaps done with silo, or in error?</v>
      </c>
      <c r="G31" s="204"/>
    </row>
    <row r="32" spans="1:7" x14ac:dyDescent="0.2">
      <c r="A32" s="202"/>
      <c r="B32" s="107" t="str">
        <f>Disassembly!E30</f>
        <v>0056</v>
      </c>
      <c r="C32" s="107" t="str">
        <f>TEXT(Disassembly!F30,"0000")</f>
        <v>6752</v>
      </c>
      <c r="D32" s="114" t="str">
        <f>IF(LEN(Disassembly!C30)&lt;1,"",CONCATENATE(IF(LEN(Disassembly!B30)&lt;1,Disassembly!C30,Disassembly!B30),","))</f>
        <v/>
      </c>
      <c r="E32" s="115" t="str">
        <f>IF(Disassembly!G30="OPR",IF(Disassembly!H30=0,Disassembly!P30,Disassembly!Q30),IF(Disassembly!G30="IOT",IF(ISBLANK(Disassembly!R30),"IOT",Disassembly!R30),CONCATENATE(Disassembly!G30," ",IF(Disassembly!H30=1,"I ",""),Disassembly!M30)))</f>
        <v>XDR</v>
      </c>
      <c r="F32" s="116" t="str">
        <f>IF(OR(LEN(Disassembly!S30)&gt;0,LEN(Disassembly!T30)&gt;0),CONCATENATE("/",Disassembly!S30," ",Disassembly!T30),"")</f>
        <v>/RX28: Transfer Data Register Yes, data in or out; if data to controller, AC unchanged</v>
      </c>
      <c r="G32" s="204"/>
    </row>
    <row r="33" spans="1:7" x14ac:dyDescent="0.2">
      <c r="A33" s="202"/>
      <c r="B33" s="107" t="str">
        <f>Disassembly!E31</f>
        <v>0057</v>
      </c>
      <c r="C33" s="107" t="str">
        <f>TEXT(Disassembly!F31,"0000")</f>
        <v>5453</v>
      </c>
      <c r="D33" s="114" t="str">
        <f>IF(LEN(Disassembly!C31)&lt;1,"",CONCATENATE(IF(LEN(Disassembly!B31)&lt;1,Disassembly!C31,Disassembly!B31),","))</f>
        <v/>
      </c>
      <c r="E33" s="115" t="str">
        <f>IF(Disassembly!G31="OPR",IF(Disassembly!H31=0,Disassembly!P31,Disassembly!Q31),IF(Disassembly!G31="IOT",IF(ISBLANK(Disassembly!R31),"IOT",Disassembly!R31),CONCATENATE(Disassembly!G31," ",IF(Disassembly!H31=1,"I ",""),Disassembly!M31)))</f>
        <v>JMP I LOAD</v>
      </c>
      <c r="F33" s="116" t="str">
        <f>IF(OR(LEN(Disassembly!S31)&gt;0,LEN(Disassembly!T31)&gt;0),CONCATENATE("/",Disassembly!S31," ",Disassembly!T31),"")</f>
        <v>/ No magic, just exit from Subroutine</v>
      </c>
      <c r="G33" s="204"/>
    </row>
    <row r="34" spans="1:7" x14ac:dyDescent="0.2">
      <c r="A34" s="202"/>
      <c r="B34" s="107" t="str">
        <f>Disassembly!E32</f>
        <v>0060</v>
      </c>
      <c r="C34" s="107" t="str">
        <f>TEXT(Disassembly!F32,"0000")</f>
        <v>7024</v>
      </c>
      <c r="D34" s="114" t="str">
        <f>IF(LEN(Disassembly!C32)&lt;1,"",CONCATENATE(IF(LEN(Disassembly!B32)&lt;1,Disassembly!C32,Disassembly!B32),","))</f>
        <v>RX1SAV,</v>
      </c>
      <c r="E34" s="115" t="str">
        <f>IF(Disassembly!G32="OPR",IF(Disassembly!H32=0,Disassembly!P32,Disassembly!Q32),IF(Disassembly!G32="IOT",IF(ISBLANK(Disassembly!R32),"IOT",Disassembly!R32),CONCATENATE(Disassembly!G32," ",IF(Disassembly!H32=1,"I ",""),Disassembly!M32)))</f>
        <v xml:space="preserve">CML RAL </v>
      </c>
      <c r="F34" s="116" t="str">
        <f>IF(OR(LEN(Disassembly!S32)&gt;0,LEN(Disassembly!T32)&gt;0),CONCATENATE("/",Disassembly!S32," ",Disassembly!T32),"")</f>
        <v>/ Unit^20+7004 to go to sys handler</v>
      </c>
      <c r="G34" s="204"/>
    </row>
    <row r="35" spans="1:7" x14ac:dyDescent="0.2">
      <c r="A35" s="202"/>
      <c r="B35" s="107" t="str">
        <f>Disassembly!E33</f>
        <v>0061</v>
      </c>
      <c r="C35" s="107" t="str">
        <f>TEXT(Disassembly!F33,"0000")</f>
        <v>6030</v>
      </c>
      <c r="D35" s="114" t="str">
        <f>IF(LEN(Disassembly!C33)&lt;1,"",CONCATENATE(IF(LEN(Disassembly!B33)&lt;1,Disassembly!C33,Disassembly!B33),","))</f>
        <v>UNIT,</v>
      </c>
      <c r="E35" s="115" t="str">
        <f>IF(Disassembly!G33="OPR",IF(Disassembly!H33=0,Disassembly!P33,Disassembly!Q33),IF(Disassembly!G33="IOT",IF(ISBLANK(Disassembly!R33),"IOT",Disassembly!R33),CONCATENATE(Disassembly!G33," ",IF(Disassembly!H33=1,"I ",""),Disassembly!M33)))</f>
        <v>KCF</v>
      </c>
      <c r="F35" s="116" t="str">
        <f>IF(OR(LEN(Disassembly!S33)&gt;0,LEN(Disassembly!T33)&gt;0),CONCATENATE("/",Disassembly!S33," ",Disassembly!T33),"")</f>
        <v>/KL8-E: Clear Keyboard Flag &lt;density^400&gt;+&lt;unit^20&gt; that booted OK</v>
      </c>
      <c r="G35" s="204"/>
    </row>
    <row r="36" spans="1:7" x14ac:dyDescent="0.2">
      <c r="A36" s="202"/>
      <c r="B36" s="107" t="str">
        <f>Disassembly!E34</f>
        <v>0062</v>
      </c>
      <c r="C36" s="107" t="str">
        <f>TEXT(Disassembly!F34,"0000")</f>
        <v>7777</v>
      </c>
      <c r="D36" s="114" t="str">
        <f>IF(LEN(Disassembly!C34)&lt;1,"",CONCATENATE(IF(LEN(Disassembly!B34)&lt;1,Disassembly!C34,Disassembly!B34),","))</f>
        <v/>
      </c>
      <c r="E36" s="115" t="str">
        <f>IF(Disassembly!G34="OPR",IF(Disassembly!H34=0,Disassembly!P34,Disassembly!Q34),IF(Disassembly!G34="IOT",IF(ISBLANK(Disassembly!R34),"IOT",Disassembly!R34),CONCATENATE(Disassembly!G34," ",IF(Disassembly!H34=1,"I ",""),Disassembly!M34)))</f>
        <v xml:space="preserve">CLA OSR HLT </v>
      </c>
      <c r="F36" s="116" t="str">
        <f>IF(OR(LEN(Disassembly!S34)&gt;0,LEN(Disassembly!T34)&gt;0),CONCATENATE("/",Disassembly!S34," ",Disassembly!T34),"")</f>
        <v>/ Unused position</v>
      </c>
      <c r="G36" s="204"/>
    </row>
    <row r="37" spans="1:7" x14ac:dyDescent="0.2">
      <c r="A37" s="202"/>
      <c r="B37" s="107" t="str">
        <f>Disassembly!E35</f>
        <v>0063</v>
      </c>
      <c r="C37" s="107" t="str">
        <f>TEXT(Disassembly!F35,"0000")</f>
        <v>7777</v>
      </c>
      <c r="D37" s="117" t="str">
        <f>IF(LEN(Disassembly!C35)&lt;1,"",CONCATENATE(IF(LEN(Disassembly!B35)&lt;1,Disassembly!C35,Disassembly!B35),","))</f>
        <v/>
      </c>
      <c r="E37" s="118" t="str">
        <f>IF(Disassembly!G35="OPR",IF(Disassembly!H35=0,Disassembly!P35,Disassembly!Q35),IF(Disassembly!G35="IOT",IF(ISBLANK(Disassembly!R35),"IOT",Disassembly!R35),CONCATENATE(Disassembly!G35," ",IF(Disassembly!H35=1,"I ",""),Disassembly!M35)))</f>
        <v xml:space="preserve">CLA OSR HLT </v>
      </c>
      <c r="F37" s="119" t="str">
        <f>IF(OR(LEN(Disassembly!S35)&gt;0,LEN(Disassembly!T35)&gt;0),CONCATENATE("/",Disassembly!S35," ",Disassembly!T35),"")</f>
        <v>/ Unused position</v>
      </c>
      <c r="G37" s="204"/>
    </row>
    <row r="38" spans="1:7" ht="17" thickBot="1" x14ac:dyDescent="0.25">
      <c r="A38" s="196"/>
      <c r="B38" s="208"/>
      <c r="C38" s="208"/>
      <c r="D38" s="197"/>
      <c r="E38" s="197"/>
      <c r="F38" s="197"/>
      <c r="G38" s="198"/>
    </row>
    <row r="39" spans="1:7" ht="17" thickTop="1" x14ac:dyDescent="0.2"/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6"/>
  <sheetViews>
    <sheetView zoomScale="105" workbookViewId="0">
      <selection activeCell="J314" sqref="J314"/>
    </sheetView>
  </sheetViews>
  <sheetFormatPr baseColWidth="10" defaultRowHeight="16" x14ac:dyDescent="0.2"/>
  <cols>
    <col min="1" max="1" width="3.33203125" customWidth="1"/>
    <col min="2" max="2" width="12.6640625" style="4" bestFit="1" customWidth="1"/>
    <col min="3" max="4" width="8.83203125" customWidth="1"/>
    <col min="5" max="5" width="40.83203125" customWidth="1"/>
    <col min="6" max="6" width="3.1640625" customWidth="1"/>
    <col min="7" max="7" width="3.5" style="4" customWidth="1"/>
    <col min="8" max="8" width="12.5" bestFit="1" customWidth="1"/>
    <col min="9" max="9" width="8.83203125" style="2" customWidth="1"/>
    <col min="10" max="10" width="10" style="2" bestFit="1" customWidth="1"/>
    <col min="11" max="11" width="32.6640625" style="1" bestFit="1" customWidth="1"/>
    <col min="12" max="12" width="13.33203125" style="2" bestFit="1" customWidth="1"/>
    <col min="13" max="13" width="55.6640625" style="1" bestFit="1" customWidth="1"/>
    <col min="14" max="14" width="3.5" customWidth="1"/>
  </cols>
  <sheetData>
    <row r="1" spans="1:14" x14ac:dyDescent="0.2">
      <c r="A1" s="120"/>
      <c r="B1" s="121"/>
      <c r="C1" s="120"/>
      <c r="D1" s="120"/>
      <c r="E1" s="120"/>
      <c r="F1" s="120"/>
      <c r="G1" s="128"/>
      <c r="H1" s="129"/>
      <c r="I1" s="130"/>
      <c r="J1" s="130"/>
      <c r="K1" s="131"/>
      <c r="L1" s="130"/>
      <c r="M1" s="131"/>
      <c r="N1" s="129"/>
    </row>
    <row r="2" spans="1:14" x14ac:dyDescent="0.2">
      <c r="A2" s="120"/>
      <c r="B2" s="121"/>
      <c r="C2" s="120" t="s">
        <v>100</v>
      </c>
      <c r="D2" s="120"/>
      <c r="E2" s="120"/>
      <c r="F2" s="120"/>
      <c r="G2" s="128"/>
      <c r="H2" s="129"/>
      <c r="I2" s="131" t="s">
        <v>746</v>
      </c>
      <c r="J2" s="130"/>
      <c r="K2" s="131"/>
      <c r="L2" s="130"/>
      <c r="M2" s="131"/>
      <c r="N2" s="129"/>
    </row>
    <row r="3" spans="1:14" ht="17" thickBot="1" x14ac:dyDescent="0.25">
      <c r="A3" s="120"/>
      <c r="B3" s="122"/>
      <c r="C3" s="123"/>
      <c r="D3" s="123"/>
      <c r="E3" s="123"/>
      <c r="F3" s="120"/>
      <c r="G3" s="128"/>
      <c r="H3" s="129"/>
      <c r="I3" s="130"/>
      <c r="J3" s="130"/>
      <c r="K3" s="131"/>
      <c r="L3" s="130"/>
      <c r="M3" s="131"/>
      <c r="N3" s="129"/>
    </row>
    <row r="4" spans="1:14" ht="17" thickBot="1" x14ac:dyDescent="0.25">
      <c r="A4" s="120"/>
      <c r="B4" s="122" t="s">
        <v>706</v>
      </c>
      <c r="C4" s="70" t="s">
        <v>40</v>
      </c>
      <c r="D4" s="71" t="s">
        <v>41</v>
      </c>
      <c r="E4" s="74" t="s">
        <v>82</v>
      </c>
      <c r="F4" s="120"/>
      <c r="G4" s="132"/>
      <c r="H4" s="170" t="s">
        <v>753</v>
      </c>
      <c r="I4" s="133" t="s">
        <v>40</v>
      </c>
      <c r="J4" s="134" t="s">
        <v>51</v>
      </c>
      <c r="K4" s="135" t="s">
        <v>105</v>
      </c>
      <c r="L4" s="134" t="s">
        <v>752</v>
      </c>
      <c r="M4" s="136" t="s">
        <v>759</v>
      </c>
      <c r="N4" s="129"/>
    </row>
    <row r="5" spans="1:14" x14ac:dyDescent="0.2">
      <c r="A5" s="120"/>
      <c r="B5" s="122"/>
      <c r="C5" s="82">
        <v>0</v>
      </c>
      <c r="D5" s="83" t="s">
        <v>44</v>
      </c>
      <c r="E5" s="26" t="s">
        <v>75</v>
      </c>
      <c r="F5" s="120"/>
      <c r="G5" s="132"/>
      <c r="H5" s="171" t="str">
        <f t="shared" ref="H5:H19" si="0">IF(J4=J5,CONCATENATE(J5,VALUE(RIGHT(H4,LEN(H4)-LEN(J4)))+1),CONCATENATE(J5,1))</f>
        <v>KK8-E1</v>
      </c>
      <c r="I5" s="153">
        <v>6001</v>
      </c>
      <c r="J5" s="154" t="s">
        <v>847</v>
      </c>
      <c r="K5" s="155" t="s">
        <v>848</v>
      </c>
      <c r="L5" s="154" t="s">
        <v>739</v>
      </c>
      <c r="M5" s="156" t="s">
        <v>741</v>
      </c>
      <c r="N5" s="129"/>
    </row>
    <row r="6" spans="1:14" ht="17" thickBot="1" x14ac:dyDescent="0.25">
      <c r="A6" s="120"/>
      <c r="B6" s="122"/>
      <c r="C6" s="82">
        <v>1</v>
      </c>
      <c r="D6" s="83" t="s">
        <v>45</v>
      </c>
      <c r="E6" s="26" t="s">
        <v>728</v>
      </c>
      <c r="F6" s="120"/>
      <c r="G6" s="132"/>
      <c r="H6" s="171" t="str">
        <f t="shared" si="0"/>
        <v>KK8-E2</v>
      </c>
      <c r="I6" s="161">
        <v>6002</v>
      </c>
      <c r="J6" s="162" t="s">
        <v>847</v>
      </c>
      <c r="K6" s="163" t="s">
        <v>848</v>
      </c>
      <c r="L6" s="162" t="s">
        <v>740</v>
      </c>
      <c r="M6" s="164" t="s">
        <v>742</v>
      </c>
      <c r="N6" s="129"/>
    </row>
    <row r="7" spans="1:14" x14ac:dyDescent="0.2">
      <c r="A7" s="120"/>
      <c r="B7" s="122"/>
      <c r="C7" s="82">
        <v>2</v>
      </c>
      <c r="D7" s="83" t="s">
        <v>46</v>
      </c>
      <c r="E7" s="26" t="s">
        <v>76</v>
      </c>
      <c r="F7" s="120"/>
      <c r="G7" s="128"/>
      <c r="H7" s="171" t="str">
        <f t="shared" si="0"/>
        <v>KM8-E1</v>
      </c>
      <c r="I7" s="137">
        <v>6004</v>
      </c>
      <c r="J7" s="138" t="s">
        <v>104</v>
      </c>
      <c r="K7" s="143" t="s">
        <v>106</v>
      </c>
      <c r="L7" s="138" t="s">
        <v>107</v>
      </c>
      <c r="M7" s="144" t="s">
        <v>108</v>
      </c>
      <c r="N7" s="129"/>
    </row>
    <row r="8" spans="1:14" x14ac:dyDescent="0.2">
      <c r="A8" s="120"/>
      <c r="B8" s="122"/>
      <c r="C8" s="82">
        <v>3</v>
      </c>
      <c r="D8" s="83" t="s">
        <v>730</v>
      </c>
      <c r="E8" s="26" t="s">
        <v>77</v>
      </c>
      <c r="F8" s="120"/>
      <c r="G8" s="128"/>
      <c r="H8" s="171" t="str">
        <f t="shared" si="0"/>
        <v>KM8-E2</v>
      </c>
      <c r="I8" s="145">
        <v>6005</v>
      </c>
      <c r="J8" s="146" t="s">
        <v>104</v>
      </c>
      <c r="K8" s="147" t="s">
        <v>106</v>
      </c>
      <c r="L8" s="146" t="s">
        <v>109</v>
      </c>
      <c r="M8" s="148" t="s">
        <v>110</v>
      </c>
      <c r="N8" s="129"/>
    </row>
    <row r="9" spans="1:14" x14ac:dyDescent="0.2">
      <c r="A9" s="120"/>
      <c r="B9" s="122"/>
      <c r="C9" s="82">
        <v>4</v>
      </c>
      <c r="D9" s="83" t="s">
        <v>47</v>
      </c>
      <c r="E9" s="26" t="s">
        <v>78</v>
      </c>
      <c r="F9" s="120"/>
      <c r="G9" s="128"/>
      <c r="H9" s="171" t="str">
        <f t="shared" si="0"/>
        <v>KM8-E3</v>
      </c>
      <c r="I9" s="149">
        <v>6204</v>
      </c>
      <c r="J9" s="146" t="s">
        <v>104</v>
      </c>
      <c r="K9" s="147" t="s">
        <v>106</v>
      </c>
      <c r="L9" s="146" t="s">
        <v>119</v>
      </c>
      <c r="M9" s="148" t="s">
        <v>120</v>
      </c>
      <c r="N9" s="129"/>
    </row>
    <row r="10" spans="1:14" x14ac:dyDescent="0.2">
      <c r="A10" s="120"/>
      <c r="B10" s="122"/>
      <c r="C10" s="82">
        <v>5</v>
      </c>
      <c r="D10" s="83" t="s">
        <v>48</v>
      </c>
      <c r="E10" s="26" t="s">
        <v>79</v>
      </c>
      <c r="F10" s="120"/>
      <c r="G10" s="128"/>
      <c r="H10" s="171" t="str">
        <f t="shared" si="0"/>
        <v>KM8-E4</v>
      </c>
      <c r="I10" s="149">
        <v>6214</v>
      </c>
      <c r="J10" s="146" t="s">
        <v>104</v>
      </c>
      <c r="K10" s="147" t="s">
        <v>106</v>
      </c>
      <c r="L10" s="146" t="s">
        <v>111</v>
      </c>
      <c r="M10" s="148" t="s">
        <v>112</v>
      </c>
      <c r="N10" s="129"/>
    </row>
    <row r="11" spans="1:14" x14ac:dyDescent="0.2">
      <c r="A11" s="120"/>
      <c r="B11" s="122"/>
      <c r="C11" s="82">
        <v>6</v>
      </c>
      <c r="D11" s="83" t="s">
        <v>49</v>
      </c>
      <c r="E11" s="26" t="s">
        <v>80</v>
      </c>
      <c r="F11" s="120"/>
      <c r="G11" s="128"/>
      <c r="H11" s="171" t="str">
        <f t="shared" si="0"/>
        <v>KM8-E5</v>
      </c>
      <c r="I11" s="149">
        <v>6224</v>
      </c>
      <c r="J11" s="146" t="s">
        <v>104</v>
      </c>
      <c r="K11" s="147" t="s">
        <v>106</v>
      </c>
      <c r="L11" s="146" t="s">
        <v>113</v>
      </c>
      <c r="M11" s="148" t="s">
        <v>114</v>
      </c>
      <c r="N11" s="129"/>
    </row>
    <row r="12" spans="1:14" ht="17" thickBot="1" x14ac:dyDescent="0.25">
      <c r="A12" s="120"/>
      <c r="B12" s="122"/>
      <c r="C12" s="92">
        <v>7</v>
      </c>
      <c r="D12" s="93" t="s">
        <v>50</v>
      </c>
      <c r="E12" s="31" t="s">
        <v>81</v>
      </c>
      <c r="F12" s="120"/>
      <c r="G12" s="128"/>
      <c r="H12" s="171" t="str">
        <f t="shared" si="0"/>
        <v>KM8-E6</v>
      </c>
      <c r="I12" s="149">
        <v>6234</v>
      </c>
      <c r="J12" s="146" t="s">
        <v>104</v>
      </c>
      <c r="K12" s="147" t="s">
        <v>106</v>
      </c>
      <c r="L12" s="146" t="s">
        <v>115</v>
      </c>
      <c r="M12" s="148" t="s">
        <v>116</v>
      </c>
      <c r="N12" s="129"/>
    </row>
    <row r="13" spans="1:14" ht="17" thickBot="1" x14ac:dyDescent="0.25">
      <c r="A13" s="120"/>
      <c r="B13" s="122"/>
      <c r="C13" s="124"/>
      <c r="D13" s="124"/>
      <c r="E13" s="123"/>
      <c r="F13" s="120"/>
      <c r="G13" s="128"/>
      <c r="H13" s="171" t="str">
        <f t="shared" si="0"/>
        <v>KM8-E7</v>
      </c>
      <c r="I13" s="149">
        <v>6244</v>
      </c>
      <c r="J13" s="146" t="s">
        <v>104</v>
      </c>
      <c r="K13" s="147" t="s">
        <v>106</v>
      </c>
      <c r="L13" s="146" t="s">
        <v>117</v>
      </c>
      <c r="M13" s="148" t="s">
        <v>118</v>
      </c>
      <c r="N13" s="129"/>
    </row>
    <row r="14" spans="1:14" ht="17" x14ac:dyDescent="0.25">
      <c r="A14" s="120"/>
      <c r="B14" s="122" t="s">
        <v>707</v>
      </c>
      <c r="C14" s="70">
        <v>128</v>
      </c>
      <c r="D14" s="71" t="s">
        <v>52</v>
      </c>
      <c r="E14" s="125" t="s">
        <v>61</v>
      </c>
      <c r="F14" s="120"/>
      <c r="G14" s="128"/>
      <c r="H14" s="171" t="str">
        <f t="shared" si="0"/>
        <v>KM8-E8</v>
      </c>
      <c r="I14" s="149">
        <v>6254</v>
      </c>
      <c r="J14" s="146" t="s">
        <v>104</v>
      </c>
      <c r="K14" s="147" t="s">
        <v>106</v>
      </c>
      <c r="L14" s="146" t="s">
        <v>122</v>
      </c>
      <c r="M14" s="148" t="s">
        <v>121</v>
      </c>
      <c r="N14" s="129"/>
    </row>
    <row r="15" spans="1:14" ht="17" x14ac:dyDescent="0.25">
      <c r="A15" s="120"/>
      <c r="B15" s="122"/>
      <c r="C15" s="82">
        <v>64</v>
      </c>
      <c r="D15" s="83" t="s">
        <v>53</v>
      </c>
      <c r="E15" s="126" t="s">
        <v>62</v>
      </c>
      <c r="F15" s="120"/>
      <c r="G15" s="128"/>
      <c r="H15" s="171" t="str">
        <f t="shared" si="0"/>
        <v>KM8-E9</v>
      </c>
      <c r="I15" s="149">
        <v>6264</v>
      </c>
      <c r="J15" s="146" t="s">
        <v>104</v>
      </c>
      <c r="K15" s="147" t="s">
        <v>106</v>
      </c>
      <c r="L15" s="146" t="s">
        <v>123</v>
      </c>
      <c r="M15" s="148" t="s">
        <v>124</v>
      </c>
      <c r="N15" s="129"/>
    </row>
    <row r="16" spans="1:14" ht="17" x14ac:dyDescent="0.25">
      <c r="A16" s="120"/>
      <c r="B16" s="122"/>
      <c r="C16" s="82">
        <v>32</v>
      </c>
      <c r="D16" s="83" t="s">
        <v>54</v>
      </c>
      <c r="E16" s="126" t="s">
        <v>63</v>
      </c>
      <c r="F16" s="120"/>
      <c r="G16" s="128"/>
      <c r="H16" s="171" t="str">
        <f t="shared" si="0"/>
        <v>KM8-E10</v>
      </c>
      <c r="I16" s="149">
        <v>6274</v>
      </c>
      <c r="J16" s="146" t="s">
        <v>104</v>
      </c>
      <c r="K16" s="147" t="s">
        <v>106</v>
      </c>
      <c r="L16" s="146"/>
      <c r="M16" s="148" t="s">
        <v>125</v>
      </c>
      <c r="N16" s="129"/>
    </row>
    <row r="17" spans="1:14" ht="17" x14ac:dyDescent="0.25">
      <c r="A17" s="120"/>
      <c r="B17" s="122"/>
      <c r="C17" s="82">
        <v>16</v>
      </c>
      <c r="D17" s="83" t="s">
        <v>55</v>
      </c>
      <c r="E17" s="126" t="s">
        <v>64</v>
      </c>
      <c r="F17" s="120"/>
      <c r="G17" s="128"/>
      <c r="H17" s="171" t="str">
        <f t="shared" si="0"/>
        <v>KM8-E11</v>
      </c>
      <c r="I17" s="149">
        <v>6201</v>
      </c>
      <c r="J17" s="146" t="s">
        <v>104</v>
      </c>
      <c r="K17" s="147" t="s">
        <v>106</v>
      </c>
      <c r="L17" s="146" t="s">
        <v>761</v>
      </c>
      <c r="M17" s="148" t="s">
        <v>760</v>
      </c>
      <c r="N17" s="129"/>
    </row>
    <row r="18" spans="1:14" ht="17" x14ac:dyDescent="0.25">
      <c r="A18" s="120"/>
      <c r="B18" s="122"/>
      <c r="C18" s="82">
        <v>1</v>
      </c>
      <c r="D18" s="83" t="s">
        <v>56</v>
      </c>
      <c r="E18" s="126" t="s">
        <v>65</v>
      </c>
      <c r="F18" s="120"/>
      <c r="G18" s="128"/>
      <c r="H18" s="171" t="str">
        <f t="shared" si="0"/>
        <v>KM8-E12</v>
      </c>
      <c r="I18" s="149">
        <v>6202</v>
      </c>
      <c r="J18" s="146" t="s">
        <v>104</v>
      </c>
      <c r="K18" s="147" t="s">
        <v>106</v>
      </c>
      <c r="L18" s="146" t="s">
        <v>762</v>
      </c>
      <c r="M18" s="148" t="s">
        <v>764</v>
      </c>
      <c r="N18" s="129"/>
    </row>
    <row r="19" spans="1:14" ht="17" x14ac:dyDescent="0.25">
      <c r="A19" s="120"/>
      <c r="B19" s="122"/>
      <c r="C19" s="82">
        <v>8</v>
      </c>
      <c r="D19" s="83" t="s">
        <v>57</v>
      </c>
      <c r="E19" s="126" t="s">
        <v>94</v>
      </c>
      <c r="F19" s="120"/>
      <c r="G19" s="128"/>
      <c r="H19" s="173" t="str">
        <f t="shared" si="0"/>
        <v>KM8-E13</v>
      </c>
      <c r="I19" s="174">
        <v>6203</v>
      </c>
      <c r="J19" s="175" t="s">
        <v>104</v>
      </c>
      <c r="K19" s="176" t="s">
        <v>106</v>
      </c>
      <c r="L19" s="175" t="s">
        <v>763</v>
      </c>
      <c r="M19" s="177" t="s">
        <v>765</v>
      </c>
      <c r="N19" s="129"/>
    </row>
    <row r="20" spans="1:14" ht="17" x14ac:dyDescent="0.25">
      <c r="A20" s="120"/>
      <c r="B20" s="122"/>
      <c r="C20" s="82">
        <v>4</v>
      </c>
      <c r="D20" s="83" t="s">
        <v>58</v>
      </c>
      <c r="E20" s="126" t="s">
        <v>95</v>
      </c>
      <c r="F20" s="120"/>
      <c r="G20" s="128"/>
      <c r="H20" s="171" t="str">
        <f t="shared" ref="H20:H25" si="1">IF(J19=J20,CONCATENATE(J20,VALUE(RIGHT(H19,LEN(H19)-LEN(J19)))+1),CONCATENATE(J20,1))</f>
        <v>KM8-E14</v>
      </c>
      <c r="I20" s="149">
        <v>6211</v>
      </c>
      <c r="J20" s="146" t="s">
        <v>104</v>
      </c>
      <c r="K20" s="147" t="s">
        <v>106</v>
      </c>
      <c r="L20" s="146" t="s">
        <v>766</v>
      </c>
      <c r="M20" s="148" t="s">
        <v>769</v>
      </c>
      <c r="N20" s="129"/>
    </row>
    <row r="21" spans="1:14" ht="17" x14ac:dyDescent="0.25">
      <c r="A21" s="120"/>
      <c r="B21" s="122"/>
      <c r="C21" s="82">
        <v>10</v>
      </c>
      <c r="D21" s="83" t="s">
        <v>59</v>
      </c>
      <c r="E21" s="126" t="s">
        <v>96</v>
      </c>
      <c r="F21" s="120"/>
      <c r="G21" s="128"/>
      <c r="H21" s="173" t="str">
        <f t="shared" si="1"/>
        <v>KM8-E15</v>
      </c>
      <c r="I21" s="149">
        <v>6212</v>
      </c>
      <c r="J21" s="146" t="s">
        <v>104</v>
      </c>
      <c r="K21" s="147" t="s">
        <v>106</v>
      </c>
      <c r="L21" s="146" t="s">
        <v>767</v>
      </c>
      <c r="M21" s="148" t="s">
        <v>770</v>
      </c>
      <c r="N21" s="129"/>
    </row>
    <row r="22" spans="1:14" ht="18" thickBot="1" x14ac:dyDescent="0.3">
      <c r="A22" s="120"/>
      <c r="B22" s="122"/>
      <c r="C22" s="92">
        <v>6</v>
      </c>
      <c r="D22" s="93" t="s">
        <v>60</v>
      </c>
      <c r="E22" s="127" t="s">
        <v>97</v>
      </c>
      <c r="F22" s="120"/>
      <c r="G22" s="128"/>
      <c r="H22" s="171" t="str">
        <f t="shared" si="1"/>
        <v>KM8-E16</v>
      </c>
      <c r="I22" s="174">
        <v>6213</v>
      </c>
      <c r="J22" s="175" t="s">
        <v>104</v>
      </c>
      <c r="K22" s="176" t="s">
        <v>106</v>
      </c>
      <c r="L22" s="175" t="s">
        <v>768</v>
      </c>
      <c r="M22" s="177" t="s">
        <v>771</v>
      </c>
      <c r="N22" s="129"/>
    </row>
    <row r="23" spans="1:14" ht="17" thickBot="1" x14ac:dyDescent="0.25">
      <c r="A23" s="120"/>
      <c r="B23" s="122"/>
      <c r="C23" s="124"/>
      <c r="D23" s="124"/>
      <c r="E23" s="123"/>
      <c r="F23" s="120"/>
      <c r="G23" s="128"/>
      <c r="H23" s="173" t="str">
        <f t="shared" si="1"/>
        <v>KM8-E17</v>
      </c>
      <c r="I23" s="149">
        <v>6221</v>
      </c>
      <c r="J23" s="146" t="s">
        <v>104</v>
      </c>
      <c r="K23" s="147" t="s">
        <v>106</v>
      </c>
      <c r="L23" s="146" t="s">
        <v>772</v>
      </c>
      <c r="M23" s="148" t="s">
        <v>775</v>
      </c>
      <c r="N23" s="129"/>
    </row>
    <row r="24" spans="1:14" ht="17" x14ac:dyDescent="0.25">
      <c r="A24" s="120"/>
      <c r="B24" s="122" t="s">
        <v>708</v>
      </c>
      <c r="C24" s="70">
        <v>64</v>
      </c>
      <c r="D24" s="71" t="s">
        <v>85</v>
      </c>
      <c r="E24" s="125" t="s">
        <v>66</v>
      </c>
      <c r="F24" s="120"/>
      <c r="G24" s="128"/>
      <c r="H24" s="171" t="str">
        <f t="shared" si="1"/>
        <v>KM8-E18</v>
      </c>
      <c r="I24" s="149">
        <v>6222</v>
      </c>
      <c r="J24" s="146" t="s">
        <v>104</v>
      </c>
      <c r="K24" s="147" t="s">
        <v>106</v>
      </c>
      <c r="L24" s="146" t="s">
        <v>773</v>
      </c>
      <c r="M24" s="148" t="s">
        <v>776</v>
      </c>
      <c r="N24" s="129"/>
    </row>
    <row r="25" spans="1:14" ht="17" x14ac:dyDescent="0.25">
      <c r="A25" s="120"/>
      <c r="B25" s="122"/>
      <c r="C25" s="82">
        <v>32</v>
      </c>
      <c r="D25" s="83" t="s">
        <v>86</v>
      </c>
      <c r="E25" s="126" t="s">
        <v>67</v>
      </c>
      <c r="F25" s="120"/>
      <c r="G25" s="128"/>
      <c r="H25" s="173" t="str">
        <f t="shared" si="1"/>
        <v>KM8-E19</v>
      </c>
      <c r="I25" s="174">
        <v>6223</v>
      </c>
      <c r="J25" s="175" t="s">
        <v>104</v>
      </c>
      <c r="K25" s="176" t="s">
        <v>106</v>
      </c>
      <c r="L25" s="175" t="s">
        <v>774</v>
      </c>
      <c r="M25" s="177" t="s">
        <v>777</v>
      </c>
      <c r="N25" s="129"/>
    </row>
    <row r="26" spans="1:14" ht="17" x14ac:dyDescent="0.25">
      <c r="A26" s="120"/>
      <c r="B26" s="122"/>
      <c r="C26" s="82">
        <v>16</v>
      </c>
      <c r="D26" s="83" t="s">
        <v>87</v>
      </c>
      <c r="E26" s="126" t="s">
        <v>68</v>
      </c>
      <c r="F26" s="120"/>
      <c r="G26" s="128"/>
      <c r="H26" s="171" t="str">
        <f>IF(J25=J26,CONCATENATE(J26,VALUE(RIGHT(H25,LEN(H25)-LEN(J25)))+1),CONCATENATE(J26,1))</f>
        <v>KM8-E20</v>
      </c>
      <c r="I26" s="149">
        <v>6231</v>
      </c>
      <c r="J26" s="146" t="s">
        <v>104</v>
      </c>
      <c r="K26" s="147" t="s">
        <v>106</v>
      </c>
      <c r="L26" s="146" t="s">
        <v>778</v>
      </c>
      <c r="M26" s="148" t="s">
        <v>779</v>
      </c>
      <c r="N26" s="129"/>
    </row>
    <row r="27" spans="1:14" ht="17" x14ac:dyDescent="0.25">
      <c r="A27" s="120"/>
      <c r="B27" s="122"/>
      <c r="C27" s="82">
        <v>8</v>
      </c>
      <c r="D27" s="83" t="s">
        <v>88</v>
      </c>
      <c r="E27" s="126" t="s">
        <v>72</v>
      </c>
      <c r="F27" s="120"/>
      <c r="G27" s="128"/>
      <c r="H27" s="171" t="str">
        <f>IF(J26=J27,CONCATENATE(J27,VALUE(RIGHT(H26,LEN(H26)-LEN(J26)))+1),CONCATENATE(J27,1))</f>
        <v>KM8-E21</v>
      </c>
      <c r="I27" s="149">
        <v>6232</v>
      </c>
      <c r="J27" s="146" t="s">
        <v>104</v>
      </c>
      <c r="K27" s="147" t="s">
        <v>106</v>
      </c>
      <c r="L27" s="146" t="s">
        <v>780</v>
      </c>
      <c r="M27" s="148" t="s">
        <v>781</v>
      </c>
      <c r="N27" s="129"/>
    </row>
    <row r="28" spans="1:14" ht="17" x14ac:dyDescent="0.25">
      <c r="A28" s="120"/>
      <c r="B28" s="122"/>
      <c r="C28" s="82">
        <v>72</v>
      </c>
      <c r="D28" s="83" t="s">
        <v>89</v>
      </c>
      <c r="E28" s="126" t="s">
        <v>69</v>
      </c>
      <c r="F28" s="120"/>
      <c r="G28" s="128"/>
      <c r="H28" s="173" t="str">
        <f>IF(J27=J28,CONCATENATE(J28,VALUE(RIGHT(H27,LEN(H27)-LEN(J27)))+1),CONCATENATE(J28,1))</f>
        <v>KM8-E22</v>
      </c>
      <c r="I28" s="174">
        <v>6233</v>
      </c>
      <c r="J28" s="175" t="s">
        <v>104</v>
      </c>
      <c r="K28" s="176" t="s">
        <v>106</v>
      </c>
      <c r="L28" s="175" t="s">
        <v>782</v>
      </c>
      <c r="M28" s="177" t="s">
        <v>783</v>
      </c>
      <c r="N28" s="129"/>
    </row>
    <row r="29" spans="1:14" ht="17" x14ac:dyDescent="0.25">
      <c r="A29" s="120"/>
      <c r="B29" s="122"/>
      <c r="C29" s="82">
        <v>40</v>
      </c>
      <c r="D29" s="83" t="s">
        <v>90</v>
      </c>
      <c r="E29" s="126" t="s">
        <v>70</v>
      </c>
      <c r="F29" s="120"/>
      <c r="G29" s="128"/>
      <c r="H29" s="171" t="str">
        <f t="shared" ref="H29:H34" si="2">IF(J28=J29,CONCATENATE(J29,VALUE(RIGHT(H28,LEN(H28)-LEN(J28)))+1),CONCATENATE(J29,1))</f>
        <v>KM8-E23</v>
      </c>
      <c r="I29" s="149">
        <v>6241</v>
      </c>
      <c r="J29" s="146" t="s">
        <v>104</v>
      </c>
      <c r="K29" s="147" t="s">
        <v>106</v>
      </c>
      <c r="L29" s="146" t="s">
        <v>784</v>
      </c>
      <c r="M29" s="148" t="s">
        <v>785</v>
      </c>
      <c r="N29" s="129"/>
    </row>
    <row r="30" spans="1:14" ht="17" x14ac:dyDescent="0.25">
      <c r="A30" s="120"/>
      <c r="B30" s="122"/>
      <c r="C30" s="82">
        <v>24</v>
      </c>
      <c r="D30" s="83" t="s">
        <v>91</v>
      </c>
      <c r="E30" s="126" t="s">
        <v>71</v>
      </c>
      <c r="F30" s="120"/>
      <c r="G30" s="128"/>
      <c r="H30" s="173" t="str">
        <f t="shared" si="2"/>
        <v>KM8-E24</v>
      </c>
      <c r="I30" s="149">
        <v>6242</v>
      </c>
      <c r="J30" s="146" t="s">
        <v>104</v>
      </c>
      <c r="K30" s="147" t="s">
        <v>106</v>
      </c>
      <c r="L30" s="146" t="s">
        <v>786</v>
      </c>
      <c r="M30" s="148" t="s">
        <v>787</v>
      </c>
      <c r="N30" s="129"/>
    </row>
    <row r="31" spans="1:14" ht="17" x14ac:dyDescent="0.25">
      <c r="A31" s="120"/>
      <c r="B31" s="122"/>
      <c r="C31" s="82">
        <v>128</v>
      </c>
      <c r="D31" s="83" t="s">
        <v>52</v>
      </c>
      <c r="E31" s="126" t="s">
        <v>61</v>
      </c>
      <c r="F31" s="120"/>
      <c r="G31" s="128"/>
      <c r="H31" s="171" t="str">
        <f t="shared" si="2"/>
        <v>KM8-E25</v>
      </c>
      <c r="I31" s="174">
        <v>6243</v>
      </c>
      <c r="J31" s="175" t="s">
        <v>104</v>
      </c>
      <c r="K31" s="176" t="s">
        <v>106</v>
      </c>
      <c r="L31" s="175" t="s">
        <v>788</v>
      </c>
      <c r="M31" s="177" t="s">
        <v>789</v>
      </c>
      <c r="N31" s="129"/>
    </row>
    <row r="32" spans="1:14" ht="17" x14ac:dyDescent="0.25">
      <c r="A32" s="120"/>
      <c r="B32" s="122"/>
      <c r="C32" s="82">
        <v>4</v>
      </c>
      <c r="D32" s="83" t="s">
        <v>92</v>
      </c>
      <c r="E32" s="126" t="s">
        <v>73</v>
      </c>
      <c r="F32" s="120"/>
      <c r="G32" s="128"/>
      <c r="H32" s="173" t="str">
        <f t="shared" si="2"/>
        <v>KM8-E26</v>
      </c>
      <c r="I32" s="149">
        <v>6251</v>
      </c>
      <c r="J32" s="146" t="s">
        <v>104</v>
      </c>
      <c r="K32" s="147" t="s">
        <v>106</v>
      </c>
      <c r="L32" s="146" t="s">
        <v>790</v>
      </c>
      <c r="M32" s="148" t="s">
        <v>791</v>
      </c>
      <c r="N32" s="129"/>
    </row>
    <row r="33" spans="1:14" ht="18" thickBot="1" x14ac:dyDescent="0.3">
      <c r="A33" s="120"/>
      <c r="B33" s="122"/>
      <c r="C33" s="92">
        <v>2</v>
      </c>
      <c r="D33" s="93" t="s">
        <v>93</v>
      </c>
      <c r="E33" s="127" t="s">
        <v>74</v>
      </c>
      <c r="F33" s="120"/>
      <c r="G33" s="128"/>
      <c r="H33" s="171" t="str">
        <f t="shared" si="2"/>
        <v>KM8-E27</v>
      </c>
      <c r="I33" s="149">
        <v>6252</v>
      </c>
      <c r="J33" s="146" t="s">
        <v>104</v>
      </c>
      <c r="K33" s="147" t="s">
        <v>106</v>
      </c>
      <c r="L33" s="146" t="s">
        <v>792</v>
      </c>
      <c r="M33" s="148" t="s">
        <v>793</v>
      </c>
      <c r="N33" s="129"/>
    </row>
    <row r="34" spans="1:14" x14ac:dyDescent="0.2">
      <c r="A34" s="120"/>
      <c r="B34" s="122"/>
      <c r="C34" s="123"/>
      <c r="D34" s="123"/>
      <c r="E34" s="123"/>
      <c r="F34" s="120"/>
      <c r="G34" s="128"/>
      <c r="H34" s="173" t="str">
        <f t="shared" si="2"/>
        <v>KM8-E28</v>
      </c>
      <c r="I34" s="174">
        <v>6253</v>
      </c>
      <c r="J34" s="175" t="s">
        <v>104</v>
      </c>
      <c r="K34" s="176" t="s">
        <v>106</v>
      </c>
      <c r="L34" s="175" t="s">
        <v>794</v>
      </c>
      <c r="M34" s="177" t="s">
        <v>795</v>
      </c>
      <c r="N34" s="129"/>
    </row>
    <row r="35" spans="1:14" x14ac:dyDescent="0.2">
      <c r="G35" s="128"/>
      <c r="H35" s="171" t="str">
        <f>IF(J34=J35,CONCATENATE(J35,VALUE(RIGHT(H34,LEN(H34)-LEN(J34)))+1),CONCATENATE(J35,1))</f>
        <v>KM8-E29</v>
      </c>
      <c r="I35" s="149">
        <v>6261</v>
      </c>
      <c r="J35" s="146" t="s">
        <v>104</v>
      </c>
      <c r="K35" s="147" t="s">
        <v>106</v>
      </c>
      <c r="L35" s="146" t="s">
        <v>796</v>
      </c>
      <c r="M35" s="148" t="s">
        <v>797</v>
      </c>
      <c r="N35" s="129"/>
    </row>
    <row r="36" spans="1:14" x14ac:dyDescent="0.2">
      <c r="G36" s="128"/>
      <c r="H36" s="171" t="str">
        <f>IF(J35=J36,CONCATENATE(J36,VALUE(RIGHT(H35,LEN(H35)-LEN(J35)))+1),CONCATENATE(J36,1))</f>
        <v>KM8-E30</v>
      </c>
      <c r="I36" s="149">
        <v>6262</v>
      </c>
      <c r="J36" s="146" t="s">
        <v>104</v>
      </c>
      <c r="K36" s="147" t="s">
        <v>106</v>
      </c>
      <c r="L36" s="146" t="s">
        <v>798</v>
      </c>
      <c r="M36" s="148" t="s">
        <v>799</v>
      </c>
      <c r="N36" s="129"/>
    </row>
    <row r="37" spans="1:14" x14ac:dyDescent="0.2">
      <c r="G37" s="128"/>
      <c r="H37" s="173" t="str">
        <f>IF(J36=J37,CONCATENATE(J37,VALUE(RIGHT(H36,LEN(H36)-LEN(J36)))+1),CONCATENATE(J37,1))</f>
        <v>KM8-E31</v>
      </c>
      <c r="I37" s="174">
        <v>6263</v>
      </c>
      <c r="J37" s="175" t="s">
        <v>104</v>
      </c>
      <c r="K37" s="176" t="s">
        <v>106</v>
      </c>
      <c r="L37" s="175" t="s">
        <v>800</v>
      </c>
      <c r="M37" s="177" t="s">
        <v>801</v>
      </c>
      <c r="N37" s="129"/>
    </row>
    <row r="38" spans="1:14" x14ac:dyDescent="0.2">
      <c r="G38" s="128"/>
      <c r="H38" s="171" t="str">
        <f t="shared" ref="H38:H40" si="3">IF(J37=J38,CONCATENATE(J38,VALUE(RIGHT(H37,LEN(H37)-LEN(J37)))+1),CONCATENATE(J38,1))</f>
        <v>KM8-E32</v>
      </c>
      <c r="I38" s="149">
        <v>6271</v>
      </c>
      <c r="J38" s="146" t="s">
        <v>104</v>
      </c>
      <c r="K38" s="147" t="s">
        <v>106</v>
      </c>
      <c r="L38" s="146" t="s">
        <v>802</v>
      </c>
      <c r="M38" s="148" t="s">
        <v>803</v>
      </c>
      <c r="N38" s="129"/>
    </row>
    <row r="39" spans="1:14" x14ac:dyDescent="0.2">
      <c r="G39" s="128"/>
      <c r="H39" s="173" t="str">
        <f t="shared" si="3"/>
        <v>KM8-E33</v>
      </c>
      <c r="I39" s="149">
        <v>6272</v>
      </c>
      <c r="J39" s="146" t="s">
        <v>104</v>
      </c>
      <c r="K39" s="147" t="s">
        <v>106</v>
      </c>
      <c r="L39" s="146" t="s">
        <v>804</v>
      </c>
      <c r="M39" s="148" t="s">
        <v>805</v>
      </c>
      <c r="N39" s="129"/>
    </row>
    <row r="40" spans="1:14" ht="17" thickBot="1" x14ac:dyDescent="0.25">
      <c r="G40" s="128"/>
      <c r="H40" s="172" t="str">
        <f t="shared" si="3"/>
        <v>KM8-E34</v>
      </c>
      <c r="I40" s="150">
        <v>6273</v>
      </c>
      <c r="J40" s="141" t="s">
        <v>104</v>
      </c>
      <c r="K40" s="151" t="s">
        <v>106</v>
      </c>
      <c r="L40" s="141" t="s">
        <v>806</v>
      </c>
      <c r="M40" s="152" t="s">
        <v>807</v>
      </c>
      <c r="N40" s="129"/>
    </row>
    <row r="41" spans="1:14" x14ac:dyDescent="0.2">
      <c r="G41" s="128"/>
      <c r="H41" s="178" t="str">
        <f>IF(J19=J41,CONCATENATE(J41,VALUE(RIGHT(H19,LEN(H19)-LEN(J19)))+1),CONCATENATE(J41,1))</f>
        <v>PR8-E1</v>
      </c>
      <c r="I41" s="179">
        <v>6010</v>
      </c>
      <c r="J41" s="180" t="s">
        <v>194</v>
      </c>
      <c r="K41" s="181" t="s">
        <v>205</v>
      </c>
      <c r="L41" s="180" t="s">
        <v>195</v>
      </c>
      <c r="M41" s="182" t="s">
        <v>209</v>
      </c>
      <c r="N41" s="129"/>
    </row>
    <row r="42" spans="1:14" x14ac:dyDescent="0.2">
      <c r="G42" s="128"/>
      <c r="H42" s="171" t="str">
        <f t="shared" ref="H42:H105" si="4">IF(J41=J42,CONCATENATE(J42,VALUE(RIGHT(H41,LEN(H41)-LEN(J41)))+1),CONCATENATE(J42,1))</f>
        <v>PR8-E2</v>
      </c>
      <c r="I42" s="157">
        <v>6011</v>
      </c>
      <c r="J42" s="158" t="s">
        <v>194</v>
      </c>
      <c r="K42" s="159" t="s">
        <v>205</v>
      </c>
      <c r="L42" s="158" t="s">
        <v>196</v>
      </c>
      <c r="M42" s="160" t="s">
        <v>197</v>
      </c>
      <c r="N42" s="129"/>
    </row>
    <row r="43" spans="1:14" x14ac:dyDescent="0.2">
      <c r="G43" s="128"/>
      <c r="H43" s="171" t="str">
        <f t="shared" si="4"/>
        <v>PR8-E3</v>
      </c>
      <c r="I43" s="157">
        <v>6012</v>
      </c>
      <c r="J43" s="158" t="s">
        <v>194</v>
      </c>
      <c r="K43" s="159" t="s">
        <v>205</v>
      </c>
      <c r="L43" s="158" t="s">
        <v>198</v>
      </c>
      <c r="M43" s="160" t="s">
        <v>199</v>
      </c>
      <c r="N43" s="129"/>
    </row>
    <row r="44" spans="1:14" x14ac:dyDescent="0.2">
      <c r="G44" s="128"/>
      <c r="H44" s="171" t="str">
        <f t="shared" si="4"/>
        <v>PR8-E4</v>
      </c>
      <c r="I44" s="157">
        <v>6014</v>
      </c>
      <c r="J44" s="158" t="s">
        <v>194</v>
      </c>
      <c r="K44" s="159" t="s">
        <v>205</v>
      </c>
      <c r="L44" s="158" t="s">
        <v>200</v>
      </c>
      <c r="M44" s="160" t="s">
        <v>201</v>
      </c>
      <c r="N44" s="129"/>
    </row>
    <row r="45" spans="1:14" x14ac:dyDescent="0.2">
      <c r="G45" s="128"/>
      <c r="H45" s="171" t="str">
        <f t="shared" si="4"/>
        <v>PR8-E5</v>
      </c>
      <c r="I45" s="157">
        <v>6016</v>
      </c>
      <c r="J45" s="158" t="s">
        <v>194</v>
      </c>
      <c r="K45" s="159" t="s">
        <v>205</v>
      </c>
      <c r="L45" s="158" t="s">
        <v>202</v>
      </c>
      <c r="M45" s="160" t="s">
        <v>203</v>
      </c>
      <c r="N45" s="129"/>
    </row>
    <row r="46" spans="1:14" ht="17" thickBot="1" x14ac:dyDescent="0.25">
      <c r="G46" s="128"/>
      <c r="H46" s="171" t="str">
        <f t="shared" si="4"/>
        <v>PR8-E6</v>
      </c>
      <c r="I46" s="161">
        <v>6020</v>
      </c>
      <c r="J46" s="162" t="s">
        <v>194</v>
      </c>
      <c r="K46" s="163" t="s">
        <v>205</v>
      </c>
      <c r="L46" s="162" t="s">
        <v>204</v>
      </c>
      <c r="M46" s="164" t="s">
        <v>208</v>
      </c>
      <c r="N46" s="129"/>
    </row>
    <row r="47" spans="1:14" x14ac:dyDescent="0.2">
      <c r="G47" s="128"/>
      <c r="H47" s="171" t="str">
        <f t="shared" si="4"/>
        <v>PP8-E1</v>
      </c>
      <c r="I47" s="137">
        <v>6010</v>
      </c>
      <c r="J47" s="138" t="s">
        <v>206</v>
      </c>
      <c r="K47" s="143" t="s">
        <v>207</v>
      </c>
      <c r="L47" s="138" t="s">
        <v>195</v>
      </c>
      <c r="M47" s="139" t="s">
        <v>209</v>
      </c>
      <c r="N47" s="129"/>
    </row>
    <row r="48" spans="1:14" x14ac:dyDescent="0.2">
      <c r="G48" s="128"/>
      <c r="H48" s="171" t="str">
        <f t="shared" si="4"/>
        <v>PP8-E2</v>
      </c>
      <c r="I48" s="145">
        <v>6020</v>
      </c>
      <c r="J48" s="146" t="s">
        <v>206</v>
      </c>
      <c r="K48" s="147" t="s">
        <v>207</v>
      </c>
      <c r="L48" s="146" t="s">
        <v>204</v>
      </c>
      <c r="M48" s="165" t="s">
        <v>208</v>
      </c>
      <c r="N48" s="129"/>
    </row>
    <row r="49" spans="7:14" x14ac:dyDescent="0.2">
      <c r="G49" s="128"/>
      <c r="H49" s="171" t="str">
        <f t="shared" si="4"/>
        <v>PP8-E3</v>
      </c>
      <c r="I49" s="145">
        <v>6021</v>
      </c>
      <c r="J49" s="146" t="s">
        <v>206</v>
      </c>
      <c r="K49" s="147" t="s">
        <v>207</v>
      </c>
      <c r="L49" s="146" t="s">
        <v>210</v>
      </c>
      <c r="M49" s="165" t="s">
        <v>211</v>
      </c>
      <c r="N49" s="129"/>
    </row>
    <row r="50" spans="7:14" x14ac:dyDescent="0.2">
      <c r="G50" s="128"/>
      <c r="H50" s="171" t="str">
        <f t="shared" si="4"/>
        <v>PP8-E4</v>
      </c>
      <c r="I50" s="145">
        <v>6022</v>
      </c>
      <c r="J50" s="146" t="s">
        <v>206</v>
      </c>
      <c r="K50" s="147" t="s">
        <v>207</v>
      </c>
      <c r="L50" s="146" t="s">
        <v>212</v>
      </c>
      <c r="M50" s="165" t="s">
        <v>213</v>
      </c>
      <c r="N50" s="129"/>
    </row>
    <row r="51" spans="7:14" x14ac:dyDescent="0.2">
      <c r="G51" s="128"/>
      <c r="H51" s="171" t="str">
        <f t="shared" si="4"/>
        <v>PP8-E5</v>
      </c>
      <c r="I51" s="145">
        <v>6024</v>
      </c>
      <c r="J51" s="146" t="s">
        <v>206</v>
      </c>
      <c r="K51" s="147" t="s">
        <v>207</v>
      </c>
      <c r="L51" s="146" t="s">
        <v>214</v>
      </c>
      <c r="M51" s="165" t="s">
        <v>215</v>
      </c>
      <c r="N51" s="129"/>
    </row>
    <row r="52" spans="7:14" ht="17" thickBot="1" x14ac:dyDescent="0.25">
      <c r="G52" s="128"/>
      <c r="H52" s="171" t="str">
        <f t="shared" si="4"/>
        <v>PP8-E6</v>
      </c>
      <c r="I52" s="140">
        <v>6026</v>
      </c>
      <c r="J52" s="141" t="s">
        <v>206</v>
      </c>
      <c r="K52" s="151" t="s">
        <v>207</v>
      </c>
      <c r="L52" s="141" t="s">
        <v>216</v>
      </c>
      <c r="M52" s="142" t="s">
        <v>217</v>
      </c>
      <c r="N52" s="129"/>
    </row>
    <row r="53" spans="7:14" x14ac:dyDescent="0.2">
      <c r="G53" s="128"/>
      <c r="H53" s="171" t="str">
        <f t="shared" si="4"/>
        <v>KL8-E1</v>
      </c>
      <c r="I53" s="153">
        <v>6030</v>
      </c>
      <c r="J53" s="154" t="s">
        <v>319</v>
      </c>
      <c r="K53" s="155" t="s">
        <v>320</v>
      </c>
      <c r="L53" s="154" t="s">
        <v>172</v>
      </c>
      <c r="M53" s="156" t="s">
        <v>173</v>
      </c>
      <c r="N53" s="129"/>
    </row>
    <row r="54" spans="7:14" x14ac:dyDescent="0.2">
      <c r="G54" s="128"/>
      <c r="H54" s="171" t="str">
        <f t="shared" si="4"/>
        <v>KL8-E2</v>
      </c>
      <c r="I54" s="157">
        <v>6031</v>
      </c>
      <c r="J54" s="158" t="s">
        <v>319</v>
      </c>
      <c r="K54" s="159" t="s">
        <v>320</v>
      </c>
      <c r="L54" s="158" t="s">
        <v>174</v>
      </c>
      <c r="M54" s="160" t="s">
        <v>175</v>
      </c>
      <c r="N54" s="129"/>
    </row>
    <row r="55" spans="7:14" x14ac:dyDescent="0.2">
      <c r="G55" s="128"/>
      <c r="H55" s="171" t="str">
        <f t="shared" si="4"/>
        <v>KL8-E3</v>
      </c>
      <c r="I55" s="157">
        <v>6032</v>
      </c>
      <c r="J55" s="158" t="s">
        <v>319</v>
      </c>
      <c r="K55" s="159" t="s">
        <v>320</v>
      </c>
      <c r="L55" s="158" t="s">
        <v>322</v>
      </c>
      <c r="M55" s="160" t="s">
        <v>173</v>
      </c>
      <c r="N55" s="129"/>
    </row>
    <row r="56" spans="7:14" x14ac:dyDescent="0.2">
      <c r="G56" s="128"/>
      <c r="H56" s="171" t="str">
        <f t="shared" si="4"/>
        <v>KL8-E4</v>
      </c>
      <c r="I56" s="157">
        <v>6034</v>
      </c>
      <c r="J56" s="158" t="s">
        <v>319</v>
      </c>
      <c r="K56" s="159" t="s">
        <v>320</v>
      </c>
      <c r="L56" s="158" t="s">
        <v>176</v>
      </c>
      <c r="M56" s="160" t="s">
        <v>177</v>
      </c>
      <c r="N56" s="129"/>
    </row>
    <row r="57" spans="7:14" x14ac:dyDescent="0.2">
      <c r="G57" s="128"/>
      <c r="H57" s="171" t="str">
        <f t="shared" si="4"/>
        <v>KL8-E5</v>
      </c>
      <c r="I57" s="157">
        <v>6035</v>
      </c>
      <c r="J57" s="158" t="s">
        <v>319</v>
      </c>
      <c r="K57" s="159" t="s">
        <v>320</v>
      </c>
      <c r="L57" s="158" t="s">
        <v>178</v>
      </c>
      <c r="M57" s="160" t="s">
        <v>179</v>
      </c>
      <c r="N57" s="129"/>
    </row>
    <row r="58" spans="7:14" x14ac:dyDescent="0.2">
      <c r="G58" s="128"/>
      <c r="H58" s="171" t="str">
        <f t="shared" si="4"/>
        <v>KL8-E6</v>
      </c>
      <c r="I58" s="157">
        <v>6036</v>
      </c>
      <c r="J58" s="158" t="s">
        <v>319</v>
      </c>
      <c r="K58" s="159" t="s">
        <v>320</v>
      </c>
      <c r="L58" s="158" t="s">
        <v>180</v>
      </c>
      <c r="M58" s="160" t="s">
        <v>181</v>
      </c>
      <c r="N58" s="129"/>
    </row>
    <row r="59" spans="7:14" x14ac:dyDescent="0.2">
      <c r="G59" s="128"/>
      <c r="H59" s="171" t="str">
        <f t="shared" si="4"/>
        <v>KL8-E7</v>
      </c>
      <c r="I59" s="157">
        <v>6040</v>
      </c>
      <c r="J59" s="158" t="s">
        <v>319</v>
      </c>
      <c r="K59" s="159" t="s">
        <v>320</v>
      </c>
      <c r="L59" s="158" t="s">
        <v>182</v>
      </c>
      <c r="M59" s="160" t="s">
        <v>323</v>
      </c>
      <c r="N59" s="129"/>
    </row>
    <row r="60" spans="7:14" x14ac:dyDescent="0.2">
      <c r="G60" s="128"/>
      <c r="H60" s="171" t="str">
        <f t="shared" si="4"/>
        <v>KL8-E8</v>
      </c>
      <c r="I60" s="157">
        <v>6041</v>
      </c>
      <c r="J60" s="158" t="s">
        <v>319</v>
      </c>
      <c r="K60" s="159" t="s">
        <v>320</v>
      </c>
      <c r="L60" s="158" t="s">
        <v>184</v>
      </c>
      <c r="M60" s="160" t="s">
        <v>324</v>
      </c>
      <c r="N60" s="129"/>
    </row>
    <row r="61" spans="7:14" x14ac:dyDescent="0.2">
      <c r="G61" s="128"/>
      <c r="H61" s="171" t="str">
        <f t="shared" si="4"/>
        <v>KL8-E9</v>
      </c>
      <c r="I61" s="157">
        <v>6042</v>
      </c>
      <c r="J61" s="158" t="s">
        <v>319</v>
      </c>
      <c r="K61" s="159" t="s">
        <v>320</v>
      </c>
      <c r="L61" s="158" t="s">
        <v>186</v>
      </c>
      <c r="M61" s="160" t="s">
        <v>325</v>
      </c>
      <c r="N61" s="129"/>
    </row>
    <row r="62" spans="7:14" x14ac:dyDescent="0.2">
      <c r="G62" s="128"/>
      <c r="H62" s="171" t="str">
        <f t="shared" si="4"/>
        <v>KL8-E10</v>
      </c>
      <c r="I62" s="157">
        <v>6044</v>
      </c>
      <c r="J62" s="158" t="s">
        <v>319</v>
      </c>
      <c r="K62" s="159" t="s">
        <v>320</v>
      </c>
      <c r="L62" s="158" t="s">
        <v>188</v>
      </c>
      <c r="M62" s="160" t="s">
        <v>326</v>
      </c>
      <c r="N62" s="129"/>
    </row>
    <row r="63" spans="7:14" x14ac:dyDescent="0.2">
      <c r="G63" s="128"/>
      <c r="H63" s="171" t="str">
        <f t="shared" si="4"/>
        <v>KL8-E11</v>
      </c>
      <c r="I63" s="157">
        <v>6045</v>
      </c>
      <c r="J63" s="158" t="s">
        <v>319</v>
      </c>
      <c r="K63" s="159" t="s">
        <v>320</v>
      </c>
      <c r="L63" s="158" t="s">
        <v>190</v>
      </c>
      <c r="M63" s="160" t="s">
        <v>327</v>
      </c>
      <c r="N63" s="129"/>
    </row>
    <row r="64" spans="7:14" ht="17" thickBot="1" x14ac:dyDescent="0.25">
      <c r="G64" s="128"/>
      <c r="H64" s="171" t="str">
        <f t="shared" si="4"/>
        <v>KL8-E12</v>
      </c>
      <c r="I64" s="161">
        <v>6046</v>
      </c>
      <c r="J64" s="162" t="s">
        <v>319</v>
      </c>
      <c r="K64" s="163" t="s">
        <v>320</v>
      </c>
      <c r="L64" s="162" t="s">
        <v>192</v>
      </c>
      <c r="M64" s="164" t="s">
        <v>328</v>
      </c>
      <c r="N64" s="129"/>
    </row>
    <row r="65" spans="7:14" x14ac:dyDescent="0.2">
      <c r="G65" s="128"/>
      <c r="H65" s="171" t="str">
        <f t="shared" si="4"/>
        <v>LC8-E1</v>
      </c>
      <c r="I65" s="137">
        <v>6030</v>
      </c>
      <c r="J65" s="138" t="s">
        <v>170</v>
      </c>
      <c r="K65" s="143" t="s">
        <v>171</v>
      </c>
      <c r="L65" s="138" t="s">
        <v>172</v>
      </c>
      <c r="M65" s="139" t="s">
        <v>173</v>
      </c>
      <c r="N65" s="129"/>
    </row>
    <row r="66" spans="7:14" x14ac:dyDescent="0.2">
      <c r="G66" s="128"/>
      <c r="H66" s="171" t="str">
        <f t="shared" si="4"/>
        <v>LC8-E2</v>
      </c>
      <c r="I66" s="145">
        <v>6031</v>
      </c>
      <c r="J66" s="146" t="s">
        <v>170</v>
      </c>
      <c r="K66" s="147" t="s">
        <v>171</v>
      </c>
      <c r="L66" s="146" t="s">
        <v>174</v>
      </c>
      <c r="M66" s="165" t="s">
        <v>175</v>
      </c>
      <c r="N66" s="129"/>
    </row>
    <row r="67" spans="7:14" x14ac:dyDescent="0.2">
      <c r="G67" s="128"/>
      <c r="H67" s="171" t="str">
        <f t="shared" si="4"/>
        <v>LC8-E3</v>
      </c>
      <c r="I67" s="145">
        <v>6034</v>
      </c>
      <c r="J67" s="146" t="s">
        <v>170</v>
      </c>
      <c r="K67" s="147" t="s">
        <v>171</v>
      </c>
      <c r="L67" s="146" t="s">
        <v>176</v>
      </c>
      <c r="M67" s="165" t="s">
        <v>177</v>
      </c>
      <c r="N67" s="129"/>
    </row>
    <row r="68" spans="7:14" x14ac:dyDescent="0.2">
      <c r="G68" s="128"/>
      <c r="H68" s="171" t="str">
        <f t="shared" si="4"/>
        <v>LC8-E4</v>
      </c>
      <c r="I68" s="145">
        <v>6035</v>
      </c>
      <c r="J68" s="146" t="s">
        <v>170</v>
      </c>
      <c r="K68" s="147" t="s">
        <v>171</v>
      </c>
      <c r="L68" s="146" t="s">
        <v>178</v>
      </c>
      <c r="M68" s="165" t="s">
        <v>179</v>
      </c>
      <c r="N68" s="129"/>
    </row>
    <row r="69" spans="7:14" x14ac:dyDescent="0.2">
      <c r="G69" s="128"/>
      <c r="H69" s="171" t="str">
        <f t="shared" si="4"/>
        <v>LC8-E5</v>
      </c>
      <c r="I69" s="145">
        <v>6036</v>
      </c>
      <c r="J69" s="146" t="s">
        <v>170</v>
      </c>
      <c r="K69" s="147" t="s">
        <v>171</v>
      </c>
      <c r="L69" s="146" t="s">
        <v>180</v>
      </c>
      <c r="M69" s="165" t="s">
        <v>181</v>
      </c>
      <c r="N69" s="129"/>
    </row>
    <row r="70" spans="7:14" x14ac:dyDescent="0.2">
      <c r="G70" s="128"/>
      <c r="H70" s="171" t="str">
        <f t="shared" si="4"/>
        <v>LC8-E6</v>
      </c>
      <c r="I70" s="145">
        <v>6040</v>
      </c>
      <c r="J70" s="146" t="s">
        <v>170</v>
      </c>
      <c r="K70" s="147" t="s">
        <v>171</v>
      </c>
      <c r="L70" s="146" t="s">
        <v>182</v>
      </c>
      <c r="M70" s="165" t="s">
        <v>183</v>
      </c>
      <c r="N70" s="129"/>
    </row>
    <row r="71" spans="7:14" x14ac:dyDescent="0.2">
      <c r="G71" s="128"/>
      <c r="H71" s="171" t="str">
        <f t="shared" si="4"/>
        <v>LC8-E7</v>
      </c>
      <c r="I71" s="145">
        <v>6041</v>
      </c>
      <c r="J71" s="146" t="s">
        <v>170</v>
      </c>
      <c r="K71" s="147" t="s">
        <v>171</v>
      </c>
      <c r="L71" s="146" t="s">
        <v>184</v>
      </c>
      <c r="M71" s="165" t="s">
        <v>185</v>
      </c>
      <c r="N71" s="129"/>
    </row>
    <row r="72" spans="7:14" x14ac:dyDescent="0.2">
      <c r="G72" s="128"/>
      <c r="H72" s="171" t="str">
        <f t="shared" si="4"/>
        <v>LC8-E8</v>
      </c>
      <c r="I72" s="145">
        <v>6042</v>
      </c>
      <c r="J72" s="146" t="s">
        <v>170</v>
      </c>
      <c r="K72" s="147" t="s">
        <v>171</v>
      </c>
      <c r="L72" s="146" t="s">
        <v>186</v>
      </c>
      <c r="M72" s="165" t="s">
        <v>187</v>
      </c>
      <c r="N72" s="129"/>
    </row>
    <row r="73" spans="7:14" x14ac:dyDescent="0.2">
      <c r="G73" s="128"/>
      <c r="H73" s="171" t="str">
        <f t="shared" si="4"/>
        <v>LC8-E9</v>
      </c>
      <c r="I73" s="145">
        <v>6044</v>
      </c>
      <c r="J73" s="146" t="s">
        <v>170</v>
      </c>
      <c r="K73" s="147" t="s">
        <v>171</v>
      </c>
      <c r="L73" s="146" t="s">
        <v>188</v>
      </c>
      <c r="M73" s="165" t="s">
        <v>189</v>
      </c>
      <c r="N73" s="129"/>
    </row>
    <row r="74" spans="7:14" x14ac:dyDescent="0.2">
      <c r="G74" s="128"/>
      <c r="H74" s="171" t="str">
        <f t="shared" si="4"/>
        <v>LC8-E10</v>
      </c>
      <c r="I74" s="145">
        <v>6045</v>
      </c>
      <c r="J74" s="146" t="s">
        <v>170</v>
      </c>
      <c r="K74" s="147" t="s">
        <v>171</v>
      </c>
      <c r="L74" s="146" t="s">
        <v>190</v>
      </c>
      <c r="M74" s="165" t="s">
        <v>191</v>
      </c>
      <c r="N74" s="129"/>
    </row>
    <row r="75" spans="7:14" ht="17" thickBot="1" x14ac:dyDescent="0.25">
      <c r="G75" s="128"/>
      <c r="H75" s="171" t="str">
        <f t="shared" si="4"/>
        <v>LC8-E11</v>
      </c>
      <c r="I75" s="140">
        <v>6046</v>
      </c>
      <c r="J75" s="141" t="s">
        <v>170</v>
      </c>
      <c r="K75" s="151" t="s">
        <v>171</v>
      </c>
      <c r="L75" s="141" t="s">
        <v>192</v>
      </c>
      <c r="M75" s="142" t="s">
        <v>193</v>
      </c>
      <c r="N75" s="129"/>
    </row>
    <row r="76" spans="7:14" x14ac:dyDescent="0.2">
      <c r="G76" s="128"/>
      <c r="H76" s="171" t="str">
        <f t="shared" si="4"/>
        <v>VC8-E1</v>
      </c>
      <c r="I76" s="153">
        <v>6050</v>
      </c>
      <c r="J76" s="154" t="s">
        <v>218</v>
      </c>
      <c r="K76" s="155" t="s">
        <v>219</v>
      </c>
      <c r="L76" s="154" t="s">
        <v>221</v>
      </c>
      <c r="M76" s="156" t="s">
        <v>220</v>
      </c>
      <c r="N76" s="129"/>
    </row>
    <row r="77" spans="7:14" x14ac:dyDescent="0.2">
      <c r="G77" s="128"/>
      <c r="H77" s="171" t="str">
        <f t="shared" si="4"/>
        <v>VC8-E2</v>
      </c>
      <c r="I77" s="157">
        <v>6051</v>
      </c>
      <c r="J77" s="158" t="s">
        <v>218</v>
      </c>
      <c r="K77" s="159" t="s">
        <v>219</v>
      </c>
      <c r="L77" s="158" t="s">
        <v>222</v>
      </c>
      <c r="M77" s="160" t="s">
        <v>223</v>
      </c>
      <c r="N77" s="129"/>
    </row>
    <row r="78" spans="7:14" x14ac:dyDescent="0.2">
      <c r="G78" s="128"/>
      <c r="H78" s="171" t="str">
        <f t="shared" si="4"/>
        <v>VC8-E3</v>
      </c>
      <c r="I78" s="157">
        <v>6052</v>
      </c>
      <c r="J78" s="158" t="s">
        <v>218</v>
      </c>
      <c r="K78" s="159" t="s">
        <v>219</v>
      </c>
      <c r="L78" s="158" t="s">
        <v>224</v>
      </c>
      <c r="M78" s="160" t="s">
        <v>225</v>
      </c>
      <c r="N78" s="129"/>
    </row>
    <row r="79" spans="7:14" x14ac:dyDescent="0.2">
      <c r="G79" s="128"/>
      <c r="H79" s="171" t="str">
        <f t="shared" si="4"/>
        <v>VC8-E4</v>
      </c>
      <c r="I79" s="157">
        <v>6053</v>
      </c>
      <c r="J79" s="158" t="s">
        <v>218</v>
      </c>
      <c r="K79" s="159" t="s">
        <v>219</v>
      </c>
      <c r="L79" s="158" t="s">
        <v>226</v>
      </c>
      <c r="M79" s="160" t="s">
        <v>227</v>
      </c>
      <c r="N79" s="129"/>
    </row>
    <row r="80" spans="7:14" x14ac:dyDescent="0.2">
      <c r="G80" s="128"/>
      <c r="H80" s="171" t="str">
        <f t="shared" si="4"/>
        <v>VC8-E5</v>
      </c>
      <c r="I80" s="157">
        <v>6054</v>
      </c>
      <c r="J80" s="158" t="s">
        <v>218</v>
      </c>
      <c r="K80" s="159" t="s">
        <v>219</v>
      </c>
      <c r="L80" s="158" t="s">
        <v>228</v>
      </c>
      <c r="M80" s="160" t="s">
        <v>229</v>
      </c>
      <c r="N80" s="129"/>
    </row>
    <row r="81" spans="7:14" x14ac:dyDescent="0.2">
      <c r="G81" s="128"/>
      <c r="H81" s="171" t="str">
        <f t="shared" si="4"/>
        <v>VC8-E6</v>
      </c>
      <c r="I81" s="157">
        <v>6056</v>
      </c>
      <c r="J81" s="158" t="s">
        <v>218</v>
      </c>
      <c r="K81" s="159" t="s">
        <v>219</v>
      </c>
      <c r="L81" s="158" t="s">
        <v>230</v>
      </c>
      <c r="M81" s="160" t="s">
        <v>231</v>
      </c>
      <c r="N81" s="129"/>
    </row>
    <row r="82" spans="7:14" ht="17" thickBot="1" x14ac:dyDescent="0.25">
      <c r="G82" s="128"/>
      <c r="H82" s="171" t="str">
        <f t="shared" si="4"/>
        <v>VC8-E7</v>
      </c>
      <c r="I82" s="161">
        <v>6057</v>
      </c>
      <c r="J82" s="162" t="s">
        <v>218</v>
      </c>
      <c r="K82" s="163" t="s">
        <v>219</v>
      </c>
      <c r="L82" s="162" t="s">
        <v>232</v>
      </c>
      <c r="M82" s="164" t="s">
        <v>233</v>
      </c>
      <c r="N82" s="129"/>
    </row>
    <row r="83" spans="7:14" x14ac:dyDescent="0.2">
      <c r="G83" s="128"/>
      <c r="H83" s="171" t="str">
        <f t="shared" si="4"/>
        <v>VW011</v>
      </c>
      <c r="I83" s="137">
        <v>6051</v>
      </c>
      <c r="J83" s="138" t="s">
        <v>644</v>
      </c>
      <c r="K83" s="143" t="s">
        <v>645</v>
      </c>
      <c r="L83" s="138" t="s">
        <v>655</v>
      </c>
      <c r="M83" s="139" t="s">
        <v>658</v>
      </c>
      <c r="N83" s="129"/>
    </row>
    <row r="84" spans="7:14" x14ac:dyDescent="0.2">
      <c r="G84" s="128"/>
      <c r="H84" s="171" t="str">
        <f t="shared" si="4"/>
        <v>VW012</v>
      </c>
      <c r="I84" s="145">
        <v>6052</v>
      </c>
      <c r="J84" s="146" t="s">
        <v>644</v>
      </c>
      <c r="K84" s="147" t="s">
        <v>645</v>
      </c>
      <c r="L84" s="146" t="s">
        <v>648</v>
      </c>
      <c r="M84" s="165" t="s">
        <v>652</v>
      </c>
      <c r="N84" s="129"/>
    </row>
    <row r="85" spans="7:14" x14ac:dyDescent="0.2">
      <c r="G85" s="128"/>
      <c r="H85" s="171" t="str">
        <f t="shared" si="4"/>
        <v>VW013</v>
      </c>
      <c r="I85" s="145">
        <v>6054</v>
      </c>
      <c r="J85" s="146" t="s">
        <v>644</v>
      </c>
      <c r="K85" s="147" t="s">
        <v>645</v>
      </c>
      <c r="L85" s="146" t="s">
        <v>646</v>
      </c>
      <c r="M85" s="165" t="s">
        <v>650</v>
      </c>
      <c r="N85" s="129"/>
    </row>
    <row r="86" spans="7:14" x14ac:dyDescent="0.2">
      <c r="G86" s="128"/>
      <c r="H86" s="171" t="str">
        <f t="shared" si="4"/>
        <v>VW014</v>
      </c>
      <c r="I86" s="145">
        <v>6061</v>
      </c>
      <c r="J86" s="146" t="s">
        <v>644</v>
      </c>
      <c r="K86" s="147" t="s">
        <v>645</v>
      </c>
      <c r="L86" s="146" t="s">
        <v>647</v>
      </c>
      <c r="M86" s="165" t="s">
        <v>651</v>
      </c>
      <c r="N86" s="129"/>
    </row>
    <row r="87" spans="7:14" x14ac:dyDescent="0.2">
      <c r="G87" s="128"/>
      <c r="H87" s="171" t="str">
        <f t="shared" si="4"/>
        <v>VW015</v>
      </c>
      <c r="I87" s="145">
        <v>6062</v>
      </c>
      <c r="J87" s="146" t="s">
        <v>644</v>
      </c>
      <c r="K87" s="147" t="s">
        <v>645</v>
      </c>
      <c r="L87" s="146" t="s">
        <v>649</v>
      </c>
      <c r="M87" s="165" t="s">
        <v>653</v>
      </c>
      <c r="N87" s="129"/>
    </row>
    <row r="88" spans="7:14" x14ac:dyDescent="0.2">
      <c r="G88" s="128"/>
      <c r="H88" s="171" t="str">
        <f t="shared" si="4"/>
        <v>VW016</v>
      </c>
      <c r="I88" s="145">
        <v>6064</v>
      </c>
      <c r="J88" s="146" t="s">
        <v>644</v>
      </c>
      <c r="K88" s="147" t="s">
        <v>645</v>
      </c>
      <c r="L88" s="146" t="s">
        <v>661</v>
      </c>
      <c r="M88" s="165" t="s">
        <v>663</v>
      </c>
      <c r="N88" s="129"/>
    </row>
    <row r="89" spans="7:14" x14ac:dyDescent="0.2">
      <c r="G89" s="128"/>
      <c r="H89" s="171" t="str">
        <f t="shared" si="4"/>
        <v>VW017</v>
      </c>
      <c r="I89" s="145">
        <v>6071</v>
      </c>
      <c r="J89" s="146" t="s">
        <v>644</v>
      </c>
      <c r="K89" s="147" t="s">
        <v>645</v>
      </c>
      <c r="L89" s="146" t="s">
        <v>656</v>
      </c>
      <c r="M89" s="165" t="s">
        <v>659</v>
      </c>
      <c r="N89" s="129"/>
    </row>
    <row r="90" spans="7:14" x14ac:dyDescent="0.2">
      <c r="G90" s="128"/>
      <c r="H90" s="171" t="str">
        <f t="shared" si="4"/>
        <v>VW018</v>
      </c>
      <c r="I90" s="145">
        <v>6072</v>
      </c>
      <c r="J90" s="146" t="s">
        <v>644</v>
      </c>
      <c r="K90" s="147" t="s">
        <v>645</v>
      </c>
      <c r="L90" s="146" t="s">
        <v>654</v>
      </c>
      <c r="M90" s="165" t="s">
        <v>657</v>
      </c>
      <c r="N90" s="129"/>
    </row>
    <row r="91" spans="7:14" ht="17" thickBot="1" x14ac:dyDescent="0.25">
      <c r="G91" s="128"/>
      <c r="H91" s="171" t="str">
        <f t="shared" si="4"/>
        <v>VW019</v>
      </c>
      <c r="I91" s="140">
        <v>6074</v>
      </c>
      <c r="J91" s="141" t="s">
        <v>644</v>
      </c>
      <c r="K91" s="151" t="s">
        <v>645</v>
      </c>
      <c r="L91" s="141" t="s">
        <v>660</v>
      </c>
      <c r="M91" s="142" t="s">
        <v>662</v>
      </c>
      <c r="N91" s="129"/>
    </row>
    <row r="92" spans="7:14" x14ac:dyDescent="0.2">
      <c r="G92" s="128"/>
      <c r="H92" s="171" t="str">
        <f t="shared" si="4"/>
        <v>MP8-E1</v>
      </c>
      <c r="I92" s="153">
        <v>6100</v>
      </c>
      <c r="J92" s="154" t="s">
        <v>126</v>
      </c>
      <c r="K92" s="155" t="s">
        <v>127</v>
      </c>
      <c r="L92" s="154" t="s">
        <v>128</v>
      </c>
      <c r="M92" s="156" t="s">
        <v>129</v>
      </c>
      <c r="N92" s="129"/>
    </row>
    <row r="93" spans="7:14" x14ac:dyDescent="0.2">
      <c r="G93" s="128"/>
      <c r="H93" s="171" t="str">
        <f t="shared" si="4"/>
        <v>MP8-E2</v>
      </c>
      <c r="I93" s="157">
        <v>6101</v>
      </c>
      <c r="J93" s="158" t="s">
        <v>126</v>
      </c>
      <c r="K93" s="159" t="s">
        <v>127</v>
      </c>
      <c r="L93" s="158" t="s">
        <v>131</v>
      </c>
      <c r="M93" s="160" t="s">
        <v>130</v>
      </c>
      <c r="N93" s="129"/>
    </row>
    <row r="94" spans="7:14" x14ac:dyDescent="0.2">
      <c r="G94" s="128"/>
      <c r="H94" s="171" t="str">
        <f t="shared" si="4"/>
        <v>MP8-E3</v>
      </c>
      <c r="I94" s="157">
        <v>6103</v>
      </c>
      <c r="J94" s="158" t="s">
        <v>126</v>
      </c>
      <c r="K94" s="159" t="s">
        <v>127</v>
      </c>
      <c r="L94" s="158" t="s">
        <v>132</v>
      </c>
      <c r="M94" s="160" t="s">
        <v>133</v>
      </c>
      <c r="N94" s="129"/>
    </row>
    <row r="95" spans="7:14" x14ac:dyDescent="0.2">
      <c r="G95" s="128"/>
      <c r="H95" s="171" t="str">
        <f t="shared" si="4"/>
        <v>MP8-E4</v>
      </c>
      <c r="I95" s="157">
        <v>6104</v>
      </c>
      <c r="J95" s="158" t="s">
        <v>126</v>
      </c>
      <c r="K95" s="159" t="s">
        <v>127</v>
      </c>
      <c r="L95" s="158" t="s">
        <v>134</v>
      </c>
      <c r="M95" s="160" t="s">
        <v>135</v>
      </c>
      <c r="N95" s="129"/>
    </row>
    <row r="96" spans="7:14" x14ac:dyDescent="0.2">
      <c r="G96" s="128"/>
      <c r="H96" s="171" t="str">
        <f t="shared" si="4"/>
        <v>MP8-E5</v>
      </c>
      <c r="I96" s="157">
        <v>6105</v>
      </c>
      <c r="J96" s="158" t="s">
        <v>126</v>
      </c>
      <c r="K96" s="159" t="s">
        <v>127</v>
      </c>
      <c r="L96" s="158" t="s">
        <v>136</v>
      </c>
      <c r="M96" s="160" t="s">
        <v>137</v>
      </c>
      <c r="N96" s="129"/>
    </row>
    <row r="97" spans="7:14" x14ac:dyDescent="0.2">
      <c r="G97" s="128"/>
      <c r="H97" s="171" t="str">
        <f t="shared" si="4"/>
        <v>MP8-E6</v>
      </c>
      <c r="I97" s="157">
        <v>6106</v>
      </c>
      <c r="J97" s="158" t="s">
        <v>126</v>
      </c>
      <c r="K97" s="159" t="s">
        <v>127</v>
      </c>
      <c r="L97" s="158" t="s">
        <v>138</v>
      </c>
      <c r="M97" s="160" t="s">
        <v>139</v>
      </c>
      <c r="N97" s="129"/>
    </row>
    <row r="98" spans="7:14" ht="17" thickBot="1" x14ac:dyDescent="0.25">
      <c r="G98" s="128"/>
      <c r="H98" s="171" t="str">
        <f t="shared" si="4"/>
        <v>MP8-E7</v>
      </c>
      <c r="I98" s="161">
        <v>6107</v>
      </c>
      <c r="J98" s="162" t="s">
        <v>126</v>
      </c>
      <c r="K98" s="163" t="s">
        <v>127</v>
      </c>
      <c r="L98" s="162" t="s">
        <v>140</v>
      </c>
      <c r="M98" s="164" t="s">
        <v>141</v>
      </c>
      <c r="N98" s="129"/>
    </row>
    <row r="99" spans="7:14" ht="17" thickBot="1" x14ac:dyDescent="0.25">
      <c r="G99" s="128"/>
      <c r="H99" s="171" t="str">
        <f t="shared" si="4"/>
        <v>KP8-E1</v>
      </c>
      <c r="I99" s="166">
        <v>6102</v>
      </c>
      <c r="J99" s="167" t="s">
        <v>166</v>
      </c>
      <c r="K99" s="168" t="s">
        <v>167</v>
      </c>
      <c r="L99" s="167" t="s">
        <v>168</v>
      </c>
      <c r="M99" s="169" t="s">
        <v>169</v>
      </c>
      <c r="N99" s="129"/>
    </row>
    <row r="100" spans="7:14" x14ac:dyDescent="0.2">
      <c r="G100" s="128"/>
      <c r="H100" s="171" t="str">
        <f t="shared" si="4"/>
        <v>DP8-EP1</v>
      </c>
      <c r="I100" s="153">
        <v>6110</v>
      </c>
      <c r="J100" s="154" t="s">
        <v>302</v>
      </c>
      <c r="K100" s="155" t="s">
        <v>303</v>
      </c>
      <c r="L100" s="154" t="s">
        <v>306</v>
      </c>
      <c r="M100" s="156" t="s">
        <v>307</v>
      </c>
      <c r="N100" s="129"/>
    </row>
    <row r="101" spans="7:14" x14ac:dyDescent="0.2">
      <c r="G101" s="128"/>
      <c r="H101" s="171" t="str">
        <f t="shared" si="4"/>
        <v>DP8-EP2</v>
      </c>
      <c r="I101" s="157">
        <v>6111</v>
      </c>
      <c r="J101" s="158" t="s">
        <v>302</v>
      </c>
      <c r="K101" s="159" t="s">
        <v>303</v>
      </c>
      <c r="L101" s="158" t="s">
        <v>312</v>
      </c>
      <c r="M101" s="160" t="s">
        <v>313</v>
      </c>
      <c r="N101" s="129"/>
    </row>
    <row r="102" spans="7:14" x14ac:dyDescent="0.2">
      <c r="G102" s="128"/>
      <c r="H102" s="171" t="str">
        <f t="shared" si="4"/>
        <v>DP8-EP3</v>
      </c>
      <c r="I102" s="157">
        <v>6112</v>
      </c>
      <c r="J102" s="158" t="s">
        <v>302</v>
      </c>
      <c r="K102" s="159" t="s">
        <v>303</v>
      </c>
      <c r="L102" s="158" t="s">
        <v>310</v>
      </c>
      <c r="M102" s="160" t="s">
        <v>311</v>
      </c>
      <c r="N102" s="129"/>
    </row>
    <row r="103" spans="7:14" x14ac:dyDescent="0.2">
      <c r="G103" s="128"/>
      <c r="H103" s="171" t="str">
        <f t="shared" si="4"/>
        <v>DP8-EP4</v>
      </c>
      <c r="I103" s="157">
        <v>6113</v>
      </c>
      <c r="J103" s="158" t="s">
        <v>302</v>
      </c>
      <c r="K103" s="159" t="s">
        <v>303</v>
      </c>
      <c r="L103" s="158" t="s">
        <v>304</v>
      </c>
      <c r="M103" s="160" t="s">
        <v>305</v>
      </c>
      <c r="N103" s="129"/>
    </row>
    <row r="104" spans="7:14" x14ac:dyDescent="0.2">
      <c r="G104" s="128"/>
      <c r="H104" s="171" t="str">
        <f t="shared" si="4"/>
        <v>DP8-EP5</v>
      </c>
      <c r="I104" s="157">
        <v>6114</v>
      </c>
      <c r="J104" s="158" t="s">
        <v>302</v>
      </c>
      <c r="K104" s="159" t="s">
        <v>303</v>
      </c>
      <c r="L104" s="158" t="s">
        <v>308</v>
      </c>
      <c r="M104" s="160" t="s">
        <v>309</v>
      </c>
      <c r="N104" s="129"/>
    </row>
    <row r="105" spans="7:14" x14ac:dyDescent="0.2">
      <c r="G105" s="128"/>
      <c r="H105" s="171" t="str">
        <f t="shared" si="4"/>
        <v>DP8-EP6</v>
      </c>
      <c r="I105" s="157">
        <v>6116</v>
      </c>
      <c r="J105" s="158" t="s">
        <v>302</v>
      </c>
      <c r="K105" s="159" t="s">
        <v>303</v>
      </c>
      <c r="L105" s="158" t="s">
        <v>314</v>
      </c>
      <c r="M105" s="160" t="s">
        <v>315</v>
      </c>
      <c r="N105" s="129"/>
    </row>
    <row r="106" spans="7:14" x14ac:dyDescent="0.2">
      <c r="G106" s="128"/>
      <c r="H106" s="171" t="str">
        <f t="shared" ref="H106:H169" si="5">IF(J105=J106,CONCATENATE(J106,VALUE(RIGHT(H105,LEN(H105)-LEN(J105)))+1),CONCATENATE(J106,1))</f>
        <v>DP8-EP7</v>
      </c>
      <c r="I106" s="157">
        <v>6116</v>
      </c>
      <c r="J106" s="158" t="s">
        <v>302</v>
      </c>
      <c r="K106" s="159" t="s">
        <v>303</v>
      </c>
      <c r="L106" s="158" t="s">
        <v>316</v>
      </c>
      <c r="M106" s="160" t="s">
        <v>287</v>
      </c>
      <c r="N106" s="129"/>
    </row>
    <row r="107" spans="7:14" ht="17" thickBot="1" x14ac:dyDescent="0.25">
      <c r="G107" s="128"/>
      <c r="H107" s="171" t="str">
        <f t="shared" si="5"/>
        <v>DP8-EP8</v>
      </c>
      <c r="I107" s="161">
        <v>6117</v>
      </c>
      <c r="J107" s="162" t="s">
        <v>302</v>
      </c>
      <c r="K107" s="163" t="s">
        <v>303</v>
      </c>
      <c r="L107" s="162" t="s">
        <v>317</v>
      </c>
      <c r="M107" s="164" t="s">
        <v>318</v>
      </c>
      <c r="N107" s="129"/>
    </row>
    <row r="108" spans="7:14" x14ac:dyDescent="0.2">
      <c r="G108" s="128"/>
      <c r="H108" s="171" t="str">
        <f t="shared" si="5"/>
        <v>DC02-F1</v>
      </c>
      <c r="I108" s="137">
        <v>6111</v>
      </c>
      <c r="J108" s="138" t="s">
        <v>664</v>
      </c>
      <c r="K108" s="143" t="s">
        <v>665</v>
      </c>
      <c r="L108" s="138" t="s">
        <v>671</v>
      </c>
      <c r="M108" s="139" t="s">
        <v>175</v>
      </c>
      <c r="N108" s="129"/>
    </row>
    <row r="109" spans="7:14" x14ac:dyDescent="0.2">
      <c r="G109" s="128"/>
      <c r="H109" s="171" t="str">
        <f t="shared" si="5"/>
        <v>DC02-F2</v>
      </c>
      <c r="I109" s="145">
        <v>6112</v>
      </c>
      <c r="J109" s="146" t="s">
        <v>664</v>
      </c>
      <c r="K109" s="147" t="s">
        <v>665</v>
      </c>
      <c r="L109" s="146" t="s">
        <v>672</v>
      </c>
      <c r="M109" s="165" t="s">
        <v>448</v>
      </c>
      <c r="N109" s="129"/>
    </row>
    <row r="110" spans="7:14" x14ac:dyDescent="0.2">
      <c r="G110" s="128"/>
      <c r="H110" s="171" t="str">
        <f t="shared" si="5"/>
        <v>DC02-F3</v>
      </c>
      <c r="I110" s="145">
        <v>6113</v>
      </c>
      <c r="J110" s="146" t="s">
        <v>664</v>
      </c>
      <c r="K110" s="147" t="s">
        <v>665</v>
      </c>
      <c r="L110" s="146" t="s">
        <v>666</v>
      </c>
      <c r="M110" s="165" t="s">
        <v>673</v>
      </c>
      <c r="N110" s="129"/>
    </row>
    <row r="111" spans="7:14" x14ac:dyDescent="0.2">
      <c r="G111" s="128"/>
      <c r="H111" s="171" t="str">
        <f t="shared" si="5"/>
        <v>DC02-F4</v>
      </c>
      <c r="I111" s="145">
        <v>6114</v>
      </c>
      <c r="J111" s="146" t="s">
        <v>664</v>
      </c>
      <c r="K111" s="147" t="s">
        <v>665</v>
      </c>
      <c r="L111" s="146" t="s">
        <v>679</v>
      </c>
      <c r="M111" s="165" t="s">
        <v>684</v>
      </c>
      <c r="N111" s="129"/>
    </row>
    <row r="112" spans="7:14" x14ac:dyDescent="0.2">
      <c r="G112" s="128"/>
      <c r="H112" s="171" t="str">
        <f t="shared" si="5"/>
        <v>DC02-F5</v>
      </c>
      <c r="I112" s="145">
        <v>6115</v>
      </c>
      <c r="J112" s="146" t="s">
        <v>664</v>
      </c>
      <c r="K112" s="147" t="s">
        <v>665</v>
      </c>
      <c r="L112" s="146" t="s">
        <v>667</v>
      </c>
      <c r="M112" s="165" t="s">
        <v>674</v>
      </c>
      <c r="N112" s="129"/>
    </row>
    <row r="113" spans="7:14" x14ac:dyDescent="0.2">
      <c r="G113" s="128"/>
      <c r="H113" s="171" t="str">
        <f t="shared" si="5"/>
        <v>DC02-F6</v>
      </c>
      <c r="I113" s="145">
        <v>6116</v>
      </c>
      <c r="J113" s="146" t="s">
        <v>664</v>
      </c>
      <c r="K113" s="147" t="s">
        <v>665</v>
      </c>
      <c r="L113" s="146" t="s">
        <v>680</v>
      </c>
      <c r="M113" s="165" t="s">
        <v>685</v>
      </c>
      <c r="N113" s="129"/>
    </row>
    <row r="114" spans="7:14" x14ac:dyDescent="0.2">
      <c r="G114" s="128"/>
      <c r="H114" s="171" t="str">
        <f t="shared" si="5"/>
        <v>DC02-F7</v>
      </c>
      <c r="I114" s="145">
        <v>6117</v>
      </c>
      <c r="J114" s="146" t="s">
        <v>664</v>
      </c>
      <c r="K114" s="147" t="s">
        <v>665</v>
      </c>
      <c r="L114" s="146" t="s">
        <v>668</v>
      </c>
      <c r="M114" s="165" t="s">
        <v>675</v>
      </c>
      <c r="N114" s="129"/>
    </row>
    <row r="115" spans="7:14" x14ac:dyDescent="0.2">
      <c r="G115" s="128"/>
      <c r="H115" s="171" t="str">
        <f t="shared" si="5"/>
        <v>DC02-F8</v>
      </c>
      <c r="I115" s="145">
        <v>6121</v>
      </c>
      <c r="J115" s="146" t="s">
        <v>664</v>
      </c>
      <c r="K115" s="147" t="s">
        <v>665</v>
      </c>
      <c r="L115" s="146" t="s">
        <v>538</v>
      </c>
      <c r="M115" s="165" t="s">
        <v>686</v>
      </c>
      <c r="N115" s="129"/>
    </row>
    <row r="116" spans="7:14" x14ac:dyDescent="0.2">
      <c r="G116" s="128"/>
      <c r="H116" s="171" t="str">
        <f t="shared" si="5"/>
        <v>DC02-F9</v>
      </c>
      <c r="I116" s="145">
        <v>6122</v>
      </c>
      <c r="J116" s="146" t="s">
        <v>664</v>
      </c>
      <c r="K116" s="147" t="s">
        <v>665</v>
      </c>
      <c r="L116" s="146" t="s">
        <v>681</v>
      </c>
      <c r="M116" s="165" t="s">
        <v>687</v>
      </c>
      <c r="N116" s="129"/>
    </row>
    <row r="117" spans="7:14" x14ac:dyDescent="0.2">
      <c r="G117" s="128"/>
      <c r="H117" s="171" t="str">
        <f t="shared" si="5"/>
        <v>DC02-F10</v>
      </c>
      <c r="I117" s="145">
        <v>6123</v>
      </c>
      <c r="J117" s="146" t="s">
        <v>664</v>
      </c>
      <c r="K117" s="147" t="s">
        <v>665</v>
      </c>
      <c r="L117" s="146" t="s">
        <v>669</v>
      </c>
      <c r="M117" s="165" t="s">
        <v>676</v>
      </c>
      <c r="N117" s="129"/>
    </row>
    <row r="118" spans="7:14" x14ac:dyDescent="0.2">
      <c r="G118" s="128"/>
      <c r="H118" s="171" t="str">
        <f t="shared" si="5"/>
        <v>DC02-F11</v>
      </c>
      <c r="I118" s="145">
        <v>6124</v>
      </c>
      <c r="J118" s="146" t="s">
        <v>664</v>
      </c>
      <c r="K118" s="147" t="s">
        <v>665</v>
      </c>
      <c r="L118" s="146" t="s">
        <v>682</v>
      </c>
      <c r="M118" s="165" t="s">
        <v>688</v>
      </c>
      <c r="N118" s="129"/>
    </row>
    <row r="119" spans="7:14" x14ac:dyDescent="0.2">
      <c r="G119" s="128"/>
      <c r="H119" s="171" t="str">
        <f t="shared" si="5"/>
        <v>DC02-F12</v>
      </c>
      <c r="I119" s="145">
        <v>6125</v>
      </c>
      <c r="J119" s="146" t="s">
        <v>664</v>
      </c>
      <c r="K119" s="147" t="s">
        <v>665</v>
      </c>
      <c r="L119" s="146" t="s">
        <v>670</v>
      </c>
      <c r="M119" s="165" t="s">
        <v>677</v>
      </c>
      <c r="N119" s="129"/>
    </row>
    <row r="120" spans="7:14" x14ac:dyDescent="0.2">
      <c r="G120" s="128"/>
      <c r="H120" s="171" t="str">
        <f t="shared" si="5"/>
        <v>DC02-F13</v>
      </c>
      <c r="I120" s="145">
        <v>6126</v>
      </c>
      <c r="J120" s="146" t="s">
        <v>664</v>
      </c>
      <c r="K120" s="147" t="s">
        <v>665</v>
      </c>
      <c r="L120" s="146" t="s">
        <v>683</v>
      </c>
      <c r="M120" s="165" t="s">
        <v>689</v>
      </c>
      <c r="N120" s="129"/>
    </row>
    <row r="121" spans="7:14" ht="17" thickBot="1" x14ac:dyDescent="0.25">
      <c r="G121" s="128"/>
      <c r="H121" s="171" t="str">
        <f t="shared" si="5"/>
        <v>DC02-F14</v>
      </c>
      <c r="I121" s="140">
        <v>6127</v>
      </c>
      <c r="J121" s="141" t="s">
        <v>664</v>
      </c>
      <c r="K121" s="151" t="s">
        <v>665</v>
      </c>
      <c r="L121" s="141" t="s">
        <v>552</v>
      </c>
      <c r="M121" s="142" t="s">
        <v>678</v>
      </c>
      <c r="N121" s="129"/>
    </row>
    <row r="122" spans="7:14" x14ac:dyDescent="0.2">
      <c r="G122" s="128"/>
      <c r="H122" s="171" t="str">
        <f t="shared" si="5"/>
        <v>DK8-EA1</v>
      </c>
      <c r="I122" s="153">
        <v>6131</v>
      </c>
      <c r="J122" s="154" t="s">
        <v>142</v>
      </c>
      <c r="K122" s="155" t="s">
        <v>143</v>
      </c>
      <c r="L122" s="154" t="s">
        <v>144</v>
      </c>
      <c r="M122" s="156" t="s">
        <v>321</v>
      </c>
      <c r="N122" s="129"/>
    </row>
    <row r="123" spans="7:14" x14ac:dyDescent="0.2">
      <c r="G123" s="128"/>
      <c r="H123" s="171" t="str">
        <f t="shared" si="5"/>
        <v>DK8-EA2</v>
      </c>
      <c r="I123" s="157">
        <v>6132</v>
      </c>
      <c r="J123" s="158" t="s">
        <v>142</v>
      </c>
      <c r="K123" s="159" t="s">
        <v>143</v>
      </c>
      <c r="L123" s="158" t="s">
        <v>146</v>
      </c>
      <c r="M123" s="160" t="s">
        <v>147</v>
      </c>
      <c r="N123" s="129"/>
    </row>
    <row r="124" spans="7:14" ht="17" thickBot="1" x14ac:dyDescent="0.25">
      <c r="G124" s="128"/>
      <c r="H124" s="171" t="str">
        <f t="shared" si="5"/>
        <v>DK8-EA3</v>
      </c>
      <c r="I124" s="161">
        <v>6133</v>
      </c>
      <c r="J124" s="162" t="s">
        <v>142</v>
      </c>
      <c r="K124" s="163" t="s">
        <v>143</v>
      </c>
      <c r="L124" s="162" t="s">
        <v>148</v>
      </c>
      <c r="M124" s="164" t="s">
        <v>149</v>
      </c>
      <c r="N124" s="129"/>
    </row>
    <row r="125" spans="7:14" x14ac:dyDescent="0.2">
      <c r="G125" s="128"/>
      <c r="H125" s="171" t="str">
        <f t="shared" si="5"/>
        <v>DK8-EC1</v>
      </c>
      <c r="I125" s="137">
        <v>6130</v>
      </c>
      <c r="J125" s="138" t="s">
        <v>150</v>
      </c>
      <c r="K125" s="143" t="s">
        <v>749</v>
      </c>
      <c r="L125" s="138" t="s">
        <v>154</v>
      </c>
      <c r="M125" s="139" t="s">
        <v>155</v>
      </c>
      <c r="N125" s="129"/>
    </row>
    <row r="126" spans="7:14" x14ac:dyDescent="0.2">
      <c r="G126" s="128"/>
      <c r="H126" s="171" t="str">
        <f t="shared" si="5"/>
        <v>DK8-EC2</v>
      </c>
      <c r="I126" s="145">
        <v>6131</v>
      </c>
      <c r="J126" s="146" t="s">
        <v>150</v>
      </c>
      <c r="K126" s="147" t="s">
        <v>749</v>
      </c>
      <c r="L126" s="146" t="s">
        <v>148</v>
      </c>
      <c r="M126" s="165" t="s">
        <v>151</v>
      </c>
      <c r="N126" s="129"/>
    </row>
    <row r="127" spans="7:14" x14ac:dyDescent="0.2">
      <c r="G127" s="128"/>
      <c r="H127" s="171" t="str">
        <f t="shared" si="5"/>
        <v>DK8-EC3</v>
      </c>
      <c r="I127" s="145">
        <v>6132</v>
      </c>
      <c r="J127" s="146" t="s">
        <v>150</v>
      </c>
      <c r="K127" s="147" t="s">
        <v>749</v>
      </c>
      <c r="L127" s="146" t="s">
        <v>156</v>
      </c>
      <c r="M127" s="165" t="s">
        <v>157</v>
      </c>
      <c r="N127" s="129"/>
    </row>
    <row r="128" spans="7:14" x14ac:dyDescent="0.2">
      <c r="G128" s="128"/>
      <c r="H128" s="171" t="str">
        <f t="shared" si="5"/>
        <v>DK8-EC4</v>
      </c>
      <c r="I128" s="145">
        <v>6133</v>
      </c>
      <c r="J128" s="146" t="s">
        <v>150</v>
      </c>
      <c r="K128" s="147" t="s">
        <v>749</v>
      </c>
      <c r="L128" s="146" t="s">
        <v>152</v>
      </c>
      <c r="M128" s="165" t="s">
        <v>153</v>
      </c>
      <c r="N128" s="129"/>
    </row>
    <row r="129" spans="7:14" x14ac:dyDescent="0.2">
      <c r="G129" s="128"/>
      <c r="H129" s="171" t="str">
        <f t="shared" si="5"/>
        <v>DK8-EC5</v>
      </c>
      <c r="I129" s="145">
        <v>6134</v>
      </c>
      <c r="J129" s="146" t="s">
        <v>150</v>
      </c>
      <c r="K129" s="147" t="s">
        <v>749</v>
      </c>
      <c r="L129" s="146" t="s">
        <v>158</v>
      </c>
      <c r="M129" s="165" t="s">
        <v>159</v>
      </c>
      <c r="N129" s="129"/>
    </row>
    <row r="130" spans="7:14" x14ac:dyDescent="0.2">
      <c r="G130" s="128"/>
      <c r="H130" s="171" t="str">
        <f t="shared" si="5"/>
        <v>DK8-EC6</v>
      </c>
      <c r="I130" s="145">
        <v>6135</v>
      </c>
      <c r="J130" s="146" t="s">
        <v>150</v>
      </c>
      <c r="K130" s="147" t="s">
        <v>749</v>
      </c>
      <c r="L130" s="146" t="s">
        <v>160</v>
      </c>
      <c r="M130" s="165" t="s">
        <v>161</v>
      </c>
      <c r="N130" s="129"/>
    </row>
    <row r="131" spans="7:14" x14ac:dyDescent="0.2">
      <c r="G131" s="128"/>
      <c r="H131" s="171" t="str">
        <f t="shared" si="5"/>
        <v>DK8-EC7</v>
      </c>
      <c r="I131" s="145">
        <v>6136</v>
      </c>
      <c r="J131" s="146" t="s">
        <v>150</v>
      </c>
      <c r="K131" s="147" t="s">
        <v>749</v>
      </c>
      <c r="L131" s="146" t="s">
        <v>162</v>
      </c>
      <c r="M131" s="165" t="s">
        <v>163</v>
      </c>
      <c r="N131" s="129"/>
    </row>
    <row r="132" spans="7:14" ht="17" thickBot="1" x14ac:dyDescent="0.25">
      <c r="G132" s="128"/>
      <c r="H132" s="171" t="str">
        <f t="shared" si="5"/>
        <v>DK8-EC8</v>
      </c>
      <c r="I132" s="140">
        <v>6137</v>
      </c>
      <c r="J132" s="141" t="s">
        <v>150</v>
      </c>
      <c r="K132" s="151" t="s">
        <v>749</v>
      </c>
      <c r="L132" s="141" t="s">
        <v>164</v>
      </c>
      <c r="M132" s="142" t="s">
        <v>165</v>
      </c>
      <c r="N132" s="129"/>
    </row>
    <row r="133" spans="7:14" x14ac:dyDescent="0.2">
      <c r="G133" s="128"/>
      <c r="H133" s="171" t="str">
        <f t="shared" si="5"/>
        <v>UDC1</v>
      </c>
      <c r="I133" s="153">
        <v>6351</v>
      </c>
      <c r="J133" s="154" t="s">
        <v>622</v>
      </c>
      <c r="K133" s="155" t="s">
        <v>623</v>
      </c>
      <c r="L133" s="154" t="s">
        <v>624</v>
      </c>
      <c r="M133" s="156" t="s">
        <v>628</v>
      </c>
      <c r="N133" s="129"/>
    </row>
    <row r="134" spans="7:14" x14ac:dyDescent="0.2">
      <c r="G134" s="128"/>
      <c r="H134" s="171" t="str">
        <f t="shared" si="5"/>
        <v>UDC2</v>
      </c>
      <c r="I134" s="157">
        <v>6353</v>
      </c>
      <c r="J134" s="158" t="s">
        <v>622</v>
      </c>
      <c r="K134" s="159" t="s">
        <v>623</v>
      </c>
      <c r="L134" s="158" t="s">
        <v>625</v>
      </c>
      <c r="M134" s="160" t="s">
        <v>629</v>
      </c>
      <c r="N134" s="129"/>
    </row>
    <row r="135" spans="7:14" x14ac:dyDescent="0.2">
      <c r="G135" s="128"/>
      <c r="H135" s="171" t="str">
        <f t="shared" si="5"/>
        <v>UDC3</v>
      </c>
      <c r="I135" s="157">
        <v>6356</v>
      </c>
      <c r="J135" s="158" t="s">
        <v>622</v>
      </c>
      <c r="K135" s="159" t="s">
        <v>623</v>
      </c>
      <c r="L135" s="158" t="s">
        <v>626</v>
      </c>
      <c r="M135" s="160" t="s">
        <v>630</v>
      </c>
      <c r="N135" s="129"/>
    </row>
    <row r="136" spans="7:14" x14ac:dyDescent="0.2">
      <c r="G136" s="128"/>
      <c r="H136" s="171" t="str">
        <f t="shared" si="5"/>
        <v>UDC4</v>
      </c>
      <c r="I136" s="157">
        <v>6357</v>
      </c>
      <c r="J136" s="158" t="s">
        <v>622</v>
      </c>
      <c r="K136" s="159" t="s">
        <v>623</v>
      </c>
      <c r="L136" s="158" t="s">
        <v>627</v>
      </c>
      <c r="M136" s="160" t="s">
        <v>631</v>
      </c>
      <c r="N136" s="129"/>
    </row>
    <row r="137" spans="7:14" x14ac:dyDescent="0.2">
      <c r="G137" s="128"/>
      <c r="H137" s="171" t="str">
        <f t="shared" si="5"/>
        <v>UDC5</v>
      </c>
      <c r="I137" s="157">
        <v>6361</v>
      </c>
      <c r="J137" s="158" t="s">
        <v>622</v>
      </c>
      <c r="K137" s="159" t="s">
        <v>623</v>
      </c>
      <c r="L137" s="158" t="s">
        <v>632</v>
      </c>
      <c r="M137" s="160" t="s">
        <v>638</v>
      </c>
      <c r="N137" s="129"/>
    </row>
    <row r="138" spans="7:14" x14ac:dyDescent="0.2">
      <c r="G138" s="128"/>
      <c r="H138" s="171" t="str">
        <f t="shared" si="5"/>
        <v>UDC6</v>
      </c>
      <c r="I138" s="157">
        <v>6363</v>
      </c>
      <c r="J138" s="158" t="s">
        <v>622</v>
      </c>
      <c r="K138" s="159" t="s">
        <v>623</v>
      </c>
      <c r="L138" s="158" t="s">
        <v>633</v>
      </c>
      <c r="M138" s="160" t="s">
        <v>639</v>
      </c>
      <c r="N138" s="129"/>
    </row>
    <row r="139" spans="7:14" x14ac:dyDescent="0.2">
      <c r="G139" s="128"/>
      <c r="H139" s="171" t="str">
        <f t="shared" si="5"/>
        <v>UDC7</v>
      </c>
      <c r="I139" s="157">
        <v>6364</v>
      </c>
      <c r="J139" s="158" t="s">
        <v>622</v>
      </c>
      <c r="K139" s="159" t="s">
        <v>623</v>
      </c>
      <c r="L139" s="158" t="s">
        <v>634</v>
      </c>
      <c r="M139" s="160" t="s">
        <v>640</v>
      </c>
      <c r="N139" s="129"/>
    </row>
    <row r="140" spans="7:14" x14ac:dyDescent="0.2">
      <c r="G140" s="128"/>
      <c r="H140" s="171" t="str">
        <f t="shared" si="5"/>
        <v>UDC8</v>
      </c>
      <c r="I140" s="157">
        <v>6365</v>
      </c>
      <c r="J140" s="158" t="s">
        <v>622</v>
      </c>
      <c r="K140" s="159" t="s">
        <v>623</v>
      </c>
      <c r="L140" s="158" t="s">
        <v>635</v>
      </c>
      <c r="M140" s="160" t="s">
        <v>641</v>
      </c>
      <c r="N140" s="129"/>
    </row>
    <row r="141" spans="7:14" x14ac:dyDescent="0.2">
      <c r="G141" s="128"/>
      <c r="H141" s="171" t="str">
        <f t="shared" si="5"/>
        <v>UDC9</v>
      </c>
      <c r="I141" s="157">
        <v>6366</v>
      </c>
      <c r="J141" s="158" t="s">
        <v>622</v>
      </c>
      <c r="K141" s="159" t="s">
        <v>623</v>
      </c>
      <c r="L141" s="158" t="s">
        <v>636</v>
      </c>
      <c r="M141" s="160" t="s">
        <v>642</v>
      </c>
      <c r="N141" s="129"/>
    </row>
    <row r="142" spans="7:14" ht="17" thickBot="1" x14ac:dyDescent="0.25">
      <c r="G142" s="128"/>
      <c r="H142" s="171" t="str">
        <f t="shared" si="5"/>
        <v>UDC10</v>
      </c>
      <c r="I142" s="161">
        <v>6367</v>
      </c>
      <c r="J142" s="162" t="s">
        <v>622</v>
      </c>
      <c r="K142" s="163" t="s">
        <v>623</v>
      </c>
      <c r="L142" s="162" t="s">
        <v>637</v>
      </c>
      <c r="M142" s="164" t="s">
        <v>643</v>
      </c>
      <c r="N142" s="129"/>
    </row>
    <row r="143" spans="7:14" x14ac:dyDescent="0.2">
      <c r="G143" s="128"/>
      <c r="H143" s="171" t="str">
        <f t="shared" si="5"/>
        <v>BB08-P1</v>
      </c>
      <c r="I143" s="137">
        <v>6361</v>
      </c>
      <c r="J143" s="138" t="s">
        <v>439</v>
      </c>
      <c r="K143" s="143" t="s">
        <v>440</v>
      </c>
      <c r="L143" s="138" t="s">
        <v>441</v>
      </c>
      <c r="M143" s="139" t="s">
        <v>436</v>
      </c>
      <c r="N143" s="129"/>
    </row>
    <row r="144" spans="7:14" x14ac:dyDescent="0.2">
      <c r="G144" s="128"/>
      <c r="H144" s="171" t="str">
        <f t="shared" si="5"/>
        <v>BB08-P2</v>
      </c>
      <c r="I144" s="145">
        <v>6362</v>
      </c>
      <c r="J144" s="146" t="s">
        <v>439</v>
      </c>
      <c r="K144" s="147" t="s">
        <v>440</v>
      </c>
      <c r="L144" s="146" t="s">
        <v>442</v>
      </c>
      <c r="M144" s="165" t="s">
        <v>445</v>
      </c>
      <c r="N144" s="129"/>
    </row>
    <row r="145" spans="7:14" x14ac:dyDescent="0.2">
      <c r="G145" s="128"/>
      <c r="H145" s="171" t="str">
        <f t="shared" si="5"/>
        <v>BB08-P3</v>
      </c>
      <c r="I145" s="145">
        <v>6364</v>
      </c>
      <c r="J145" s="146" t="s">
        <v>439</v>
      </c>
      <c r="K145" s="147" t="s">
        <v>440</v>
      </c>
      <c r="L145" s="146"/>
      <c r="M145" s="165" t="s">
        <v>446</v>
      </c>
      <c r="N145" s="129"/>
    </row>
    <row r="146" spans="7:14" x14ac:dyDescent="0.2">
      <c r="G146" s="128"/>
      <c r="H146" s="171" t="str">
        <f t="shared" si="5"/>
        <v>BB08-P4</v>
      </c>
      <c r="I146" s="145">
        <v>6371</v>
      </c>
      <c r="J146" s="146" t="s">
        <v>439</v>
      </c>
      <c r="K146" s="147" t="s">
        <v>440</v>
      </c>
      <c r="L146" s="146" t="s">
        <v>443</v>
      </c>
      <c r="M146" s="165" t="s">
        <v>447</v>
      </c>
      <c r="N146" s="129"/>
    </row>
    <row r="147" spans="7:14" x14ac:dyDescent="0.2">
      <c r="G147" s="128"/>
      <c r="H147" s="171" t="str">
        <f t="shared" si="5"/>
        <v>BB08-P5</v>
      </c>
      <c r="I147" s="145">
        <v>6372</v>
      </c>
      <c r="J147" s="146" t="s">
        <v>439</v>
      </c>
      <c r="K147" s="147" t="s">
        <v>440</v>
      </c>
      <c r="L147" s="146" t="s">
        <v>444</v>
      </c>
      <c r="M147" s="165" t="s">
        <v>448</v>
      </c>
      <c r="N147" s="129"/>
    </row>
    <row r="148" spans="7:14" ht="17" thickBot="1" x14ac:dyDescent="0.25">
      <c r="G148" s="128"/>
      <c r="H148" s="171" t="str">
        <f t="shared" si="5"/>
        <v>BB08-P6</v>
      </c>
      <c r="I148" s="140">
        <v>6374</v>
      </c>
      <c r="J148" s="141" t="s">
        <v>439</v>
      </c>
      <c r="K148" s="151" t="s">
        <v>440</v>
      </c>
      <c r="L148" s="141" t="s">
        <v>449</v>
      </c>
      <c r="M148" s="142" t="s">
        <v>450</v>
      </c>
      <c r="N148" s="129"/>
    </row>
    <row r="149" spans="7:14" x14ac:dyDescent="0.2">
      <c r="G149" s="128"/>
      <c r="H149" s="171" t="str">
        <f t="shared" si="5"/>
        <v>DP8-EA/EB1</v>
      </c>
      <c r="I149" s="153">
        <v>6400</v>
      </c>
      <c r="J149" s="154" t="s">
        <v>268</v>
      </c>
      <c r="K149" s="155" t="s">
        <v>269</v>
      </c>
      <c r="L149" s="154" t="s">
        <v>274</v>
      </c>
      <c r="M149" s="156" t="s">
        <v>275</v>
      </c>
      <c r="N149" s="129"/>
    </row>
    <row r="150" spans="7:14" x14ac:dyDescent="0.2">
      <c r="G150" s="128"/>
      <c r="H150" s="171" t="str">
        <f t="shared" si="5"/>
        <v>DP8-EA/EB2</v>
      </c>
      <c r="I150" s="157">
        <v>6401</v>
      </c>
      <c r="J150" s="158" t="s">
        <v>268</v>
      </c>
      <c r="K150" s="159" t="s">
        <v>269</v>
      </c>
      <c r="L150" s="158" t="s">
        <v>282</v>
      </c>
      <c r="M150" s="160" t="s">
        <v>283</v>
      </c>
      <c r="N150" s="129"/>
    </row>
    <row r="151" spans="7:14" x14ac:dyDescent="0.2">
      <c r="G151" s="128"/>
      <c r="H151" s="171" t="str">
        <f t="shared" si="5"/>
        <v>DP8-EA/EB3</v>
      </c>
      <c r="I151" s="157">
        <v>6402</v>
      </c>
      <c r="J151" s="158" t="s">
        <v>268</v>
      </c>
      <c r="K151" s="159" t="s">
        <v>269</v>
      </c>
      <c r="L151" s="158" t="s">
        <v>278</v>
      </c>
      <c r="M151" s="160" t="s">
        <v>279</v>
      </c>
      <c r="N151" s="129"/>
    </row>
    <row r="152" spans="7:14" x14ac:dyDescent="0.2">
      <c r="G152" s="128"/>
      <c r="H152" s="171" t="str">
        <f t="shared" si="5"/>
        <v>DP8-EA/EB4</v>
      </c>
      <c r="I152" s="157">
        <v>6403</v>
      </c>
      <c r="J152" s="158" t="s">
        <v>268</v>
      </c>
      <c r="K152" s="159" t="s">
        <v>269</v>
      </c>
      <c r="L152" s="158" t="s">
        <v>280</v>
      </c>
      <c r="M152" s="160" t="s">
        <v>281</v>
      </c>
      <c r="N152" s="129"/>
    </row>
    <row r="153" spans="7:14" x14ac:dyDescent="0.2">
      <c r="G153" s="128"/>
      <c r="H153" s="171" t="str">
        <f t="shared" si="5"/>
        <v>DP8-EA/EB5</v>
      </c>
      <c r="I153" s="157">
        <v>6404</v>
      </c>
      <c r="J153" s="158" t="s">
        <v>268</v>
      </c>
      <c r="K153" s="159" t="s">
        <v>269</v>
      </c>
      <c r="L153" s="158" t="s">
        <v>272</v>
      </c>
      <c r="M153" s="160" t="s">
        <v>273</v>
      </c>
      <c r="N153" s="129"/>
    </row>
    <row r="154" spans="7:14" x14ac:dyDescent="0.2">
      <c r="G154" s="128"/>
      <c r="H154" s="171" t="str">
        <f t="shared" si="5"/>
        <v>DP8-EA/EB6</v>
      </c>
      <c r="I154" s="157">
        <v>6405</v>
      </c>
      <c r="J154" s="158" t="s">
        <v>268</v>
      </c>
      <c r="K154" s="159" t="s">
        <v>269</v>
      </c>
      <c r="L154" s="158" t="s">
        <v>270</v>
      </c>
      <c r="M154" s="160" t="s">
        <v>271</v>
      </c>
      <c r="N154" s="129"/>
    </row>
    <row r="155" spans="7:14" x14ac:dyDescent="0.2">
      <c r="G155" s="128"/>
      <c r="H155" s="171" t="str">
        <f t="shared" si="5"/>
        <v>DP8-EA/EB7</v>
      </c>
      <c r="I155" s="157">
        <v>6406</v>
      </c>
      <c r="J155" s="158" t="s">
        <v>268</v>
      </c>
      <c r="K155" s="159" t="s">
        <v>269</v>
      </c>
      <c r="L155" s="158" t="s">
        <v>276</v>
      </c>
      <c r="M155" s="160" t="s">
        <v>277</v>
      </c>
      <c r="N155" s="129"/>
    </row>
    <row r="156" spans="7:14" x14ac:dyDescent="0.2">
      <c r="G156" s="128"/>
      <c r="H156" s="171" t="str">
        <f t="shared" si="5"/>
        <v>DP8-EA/EB8</v>
      </c>
      <c r="I156" s="157">
        <v>6407</v>
      </c>
      <c r="J156" s="158" t="s">
        <v>268</v>
      </c>
      <c r="K156" s="159" t="s">
        <v>269</v>
      </c>
      <c r="L156" s="158" t="s">
        <v>284</v>
      </c>
      <c r="M156" s="160" t="s">
        <v>285</v>
      </c>
      <c r="N156" s="129"/>
    </row>
    <row r="157" spans="7:14" x14ac:dyDescent="0.2">
      <c r="G157" s="128"/>
      <c r="H157" s="171" t="str">
        <f t="shared" si="5"/>
        <v>DP8-EA/EB9</v>
      </c>
      <c r="I157" s="157">
        <v>6410</v>
      </c>
      <c r="J157" s="158" t="s">
        <v>268</v>
      </c>
      <c r="K157" s="159" t="s">
        <v>269</v>
      </c>
      <c r="L157" s="158" t="s">
        <v>288</v>
      </c>
      <c r="M157" s="160" t="s">
        <v>289</v>
      </c>
      <c r="N157" s="129"/>
    </row>
    <row r="158" spans="7:14" x14ac:dyDescent="0.2">
      <c r="G158" s="128"/>
      <c r="H158" s="171" t="str">
        <f t="shared" si="5"/>
        <v>DP8-EA/EB10</v>
      </c>
      <c r="I158" s="157">
        <v>6411</v>
      </c>
      <c r="J158" s="158" t="s">
        <v>268</v>
      </c>
      <c r="K158" s="159" t="s">
        <v>269</v>
      </c>
      <c r="L158" s="158" t="s">
        <v>290</v>
      </c>
      <c r="M158" s="160" t="s">
        <v>291</v>
      </c>
      <c r="N158" s="129"/>
    </row>
    <row r="159" spans="7:14" x14ac:dyDescent="0.2">
      <c r="G159" s="128"/>
      <c r="H159" s="171" t="str">
        <f t="shared" si="5"/>
        <v>DP8-EA/EB11</v>
      </c>
      <c r="I159" s="157">
        <v>6412</v>
      </c>
      <c r="J159" s="158" t="s">
        <v>268</v>
      </c>
      <c r="K159" s="159" t="s">
        <v>269</v>
      </c>
      <c r="L159" s="158" t="s">
        <v>286</v>
      </c>
      <c r="M159" s="160" t="s">
        <v>287</v>
      </c>
      <c r="N159" s="129"/>
    </row>
    <row r="160" spans="7:14" x14ac:dyDescent="0.2">
      <c r="G160" s="128"/>
      <c r="H160" s="171" t="str">
        <f t="shared" si="5"/>
        <v>DP8-EA/EB12</v>
      </c>
      <c r="I160" s="157">
        <v>6413</v>
      </c>
      <c r="J160" s="158" t="s">
        <v>268</v>
      </c>
      <c r="K160" s="159" t="s">
        <v>269</v>
      </c>
      <c r="L160" s="158" t="s">
        <v>296</v>
      </c>
      <c r="M160" s="160" t="s">
        <v>297</v>
      </c>
      <c r="N160" s="129"/>
    </row>
    <row r="161" spans="7:14" x14ac:dyDescent="0.2">
      <c r="G161" s="128"/>
      <c r="H161" s="171" t="str">
        <f t="shared" si="5"/>
        <v>DP8-EA/EB13</v>
      </c>
      <c r="I161" s="157">
        <v>6414</v>
      </c>
      <c r="J161" s="158" t="s">
        <v>268</v>
      </c>
      <c r="K161" s="159" t="s">
        <v>269</v>
      </c>
      <c r="L161" s="158" t="s">
        <v>292</v>
      </c>
      <c r="M161" s="160" t="s">
        <v>293</v>
      </c>
      <c r="N161" s="129"/>
    </row>
    <row r="162" spans="7:14" x14ac:dyDescent="0.2">
      <c r="G162" s="128"/>
      <c r="H162" s="171" t="str">
        <f t="shared" si="5"/>
        <v>DP8-EA/EB14</v>
      </c>
      <c r="I162" s="157">
        <v>6415</v>
      </c>
      <c r="J162" s="158" t="s">
        <v>268</v>
      </c>
      <c r="K162" s="159" t="s">
        <v>269</v>
      </c>
      <c r="L162" s="158" t="s">
        <v>294</v>
      </c>
      <c r="M162" s="160" t="s">
        <v>295</v>
      </c>
      <c r="N162" s="129"/>
    </row>
    <row r="163" spans="7:14" x14ac:dyDescent="0.2">
      <c r="G163" s="128"/>
      <c r="H163" s="171" t="str">
        <f t="shared" si="5"/>
        <v>DP8-EA/EB15</v>
      </c>
      <c r="I163" s="157">
        <v>6416</v>
      </c>
      <c r="J163" s="158" t="s">
        <v>268</v>
      </c>
      <c r="K163" s="159" t="s">
        <v>269</v>
      </c>
      <c r="L163" s="158" t="s">
        <v>298</v>
      </c>
      <c r="M163" s="160" t="s">
        <v>299</v>
      </c>
      <c r="N163" s="129"/>
    </row>
    <row r="164" spans="7:14" x14ac:dyDescent="0.2">
      <c r="G164" s="128"/>
      <c r="H164" s="171" t="str">
        <f t="shared" si="5"/>
        <v>DP8-EA/EB16</v>
      </c>
      <c r="I164" s="157">
        <v>6417</v>
      </c>
      <c r="J164" s="158" t="s">
        <v>268</v>
      </c>
      <c r="K164" s="159" t="s">
        <v>269</v>
      </c>
      <c r="L164" s="158" t="s">
        <v>300</v>
      </c>
      <c r="M164" s="160" t="s">
        <v>301</v>
      </c>
      <c r="N164" s="129"/>
    </row>
    <row r="165" spans="7:14" x14ac:dyDescent="0.2">
      <c r="G165" s="128"/>
      <c r="H165" s="171" t="str">
        <f t="shared" si="5"/>
        <v>DP8-EA/EB17</v>
      </c>
      <c r="I165" s="157">
        <v>6420</v>
      </c>
      <c r="J165" s="158" t="s">
        <v>268</v>
      </c>
      <c r="K165" s="159" t="s">
        <v>269</v>
      </c>
      <c r="L165" s="158" t="s">
        <v>274</v>
      </c>
      <c r="M165" s="160" t="s">
        <v>275</v>
      </c>
      <c r="N165" s="129"/>
    </row>
    <row r="166" spans="7:14" x14ac:dyDescent="0.2">
      <c r="G166" s="128"/>
      <c r="H166" s="171" t="str">
        <f t="shared" si="5"/>
        <v>DP8-EA/EB18</v>
      </c>
      <c r="I166" s="157">
        <v>6421</v>
      </c>
      <c r="J166" s="158" t="s">
        <v>268</v>
      </c>
      <c r="K166" s="159" t="s">
        <v>269</v>
      </c>
      <c r="L166" s="158" t="s">
        <v>282</v>
      </c>
      <c r="M166" s="160" t="s">
        <v>283</v>
      </c>
      <c r="N166" s="129"/>
    </row>
    <row r="167" spans="7:14" x14ac:dyDescent="0.2">
      <c r="G167" s="128"/>
      <c r="H167" s="171" t="str">
        <f t="shared" si="5"/>
        <v>DP8-EA/EB19</v>
      </c>
      <c r="I167" s="157">
        <v>6423</v>
      </c>
      <c r="J167" s="158" t="s">
        <v>268</v>
      </c>
      <c r="K167" s="159" t="s">
        <v>269</v>
      </c>
      <c r="L167" s="158" t="s">
        <v>280</v>
      </c>
      <c r="M167" s="160" t="s">
        <v>281</v>
      </c>
      <c r="N167" s="129"/>
    </row>
    <row r="168" spans="7:14" x14ac:dyDescent="0.2">
      <c r="G168" s="128"/>
      <c r="H168" s="171" t="str">
        <f t="shared" si="5"/>
        <v>DP8-EA/EB20</v>
      </c>
      <c r="I168" s="157">
        <v>6424</v>
      </c>
      <c r="J168" s="158" t="s">
        <v>268</v>
      </c>
      <c r="K168" s="159" t="s">
        <v>269</v>
      </c>
      <c r="L168" s="158" t="s">
        <v>272</v>
      </c>
      <c r="M168" s="160" t="s">
        <v>273</v>
      </c>
      <c r="N168" s="129"/>
    </row>
    <row r="169" spans="7:14" x14ac:dyDescent="0.2">
      <c r="G169" s="128"/>
      <c r="H169" s="171" t="str">
        <f t="shared" si="5"/>
        <v>DP8-EA/EB21</v>
      </c>
      <c r="I169" s="157">
        <v>6424</v>
      </c>
      <c r="J169" s="158" t="s">
        <v>268</v>
      </c>
      <c r="K169" s="159" t="s">
        <v>269</v>
      </c>
      <c r="L169" s="158" t="s">
        <v>278</v>
      </c>
      <c r="M169" s="160" t="s">
        <v>279</v>
      </c>
      <c r="N169" s="129"/>
    </row>
    <row r="170" spans="7:14" x14ac:dyDescent="0.2">
      <c r="G170" s="128"/>
      <c r="H170" s="171" t="str">
        <f t="shared" ref="H170:H233" si="6">IF(J169=J170,CONCATENATE(J170,VALUE(RIGHT(H169,LEN(H169)-LEN(J169)))+1),CONCATENATE(J170,1))</f>
        <v>DP8-EA/EB22</v>
      </c>
      <c r="I170" s="157">
        <v>6425</v>
      </c>
      <c r="J170" s="158" t="s">
        <v>268</v>
      </c>
      <c r="K170" s="159" t="s">
        <v>269</v>
      </c>
      <c r="L170" s="158" t="s">
        <v>270</v>
      </c>
      <c r="M170" s="160" t="s">
        <v>271</v>
      </c>
      <c r="N170" s="129"/>
    </row>
    <row r="171" spans="7:14" x14ac:dyDescent="0.2">
      <c r="G171" s="128"/>
      <c r="H171" s="171" t="str">
        <f t="shared" si="6"/>
        <v>DP8-EA/EB23</v>
      </c>
      <c r="I171" s="157">
        <v>6426</v>
      </c>
      <c r="J171" s="158" t="s">
        <v>268</v>
      </c>
      <c r="K171" s="159" t="s">
        <v>269</v>
      </c>
      <c r="L171" s="158" t="s">
        <v>276</v>
      </c>
      <c r="M171" s="160" t="s">
        <v>277</v>
      </c>
      <c r="N171" s="129"/>
    </row>
    <row r="172" spans="7:14" x14ac:dyDescent="0.2">
      <c r="G172" s="128"/>
      <c r="H172" s="171" t="str">
        <f t="shared" si="6"/>
        <v>DP8-EA/EB24</v>
      </c>
      <c r="I172" s="157">
        <v>6427</v>
      </c>
      <c r="J172" s="158" t="s">
        <v>268</v>
      </c>
      <c r="K172" s="159" t="s">
        <v>269</v>
      </c>
      <c r="L172" s="158" t="s">
        <v>284</v>
      </c>
      <c r="M172" s="160" t="s">
        <v>285</v>
      </c>
      <c r="N172" s="129"/>
    </row>
    <row r="173" spans="7:14" x14ac:dyDescent="0.2">
      <c r="G173" s="128"/>
      <c r="H173" s="171" t="str">
        <f t="shared" si="6"/>
        <v>DP8-EA/EB25</v>
      </c>
      <c r="I173" s="157">
        <v>6430</v>
      </c>
      <c r="J173" s="158" t="s">
        <v>268</v>
      </c>
      <c r="K173" s="159" t="s">
        <v>269</v>
      </c>
      <c r="L173" s="158" t="s">
        <v>288</v>
      </c>
      <c r="M173" s="160" t="s">
        <v>289</v>
      </c>
      <c r="N173" s="129"/>
    </row>
    <row r="174" spans="7:14" x14ac:dyDescent="0.2">
      <c r="G174" s="128"/>
      <c r="H174" s="171" t="str">
        <f t="shared" si="6"/>
        <v>DP8-EA/EB26</v>
      </c>
      <c r="I174" s="157">
        <v>6431</v>
      </c>
      <c r="J174" s="158" t="s">
        <v>268</v>
      </c>
      <c r="K174" s="159" t="s">
        <v>269</v>
      </c>
      <c r="L174" s="158" t="s">
        <v>290</v>
      </c>
      <c r="M174" s="160" t="s">
        <v>291</v>
      </c>
      <c r="N174" s="129"/>
    </row>
    <row r="175" spans="7:14" x14ac:dyDescent="0.2">
      <c r="G175" s="128"/>
      <c r="H175" s="171" t="str">
        <f t="shared" si="6"/>
        <v>DP8-EA/EB27</v>
      </c>
      <c r="I175" s="157">
        <v>6432</v>
      </c>
      <c r="J175" s="158" t="s">
        <v>268</v>
      </c>
      <c r="K175" s="159" t="s">
        <v>269</v>
      </c>
      <c r="L175" s="158" t="s">
        <v>286</v>
      </c>
      <c r="M175" s="160" t="s">
        <v>287</v>
      </c>
      <c r="N175" s="129"/>
    </row>
    <row r="176" spans="7:14" x14ac:dyDescent="0.2">
      <c r="G176" s="128"/>
      <c r="H176" s="171" t="str">
        <f t="shared" si="6"/>
        <v>DP8-EA/EB28</v>
      </c>
      <c r="I176" s="157">
        <v>6433</v>
      </c>
      <c r="J176" s="158" t="s">
        <v>268</v>
      </c>
      <c r="K176" s="159" t="s">
        <v>269</v>
      </c>
      <c r="L176" s="158" t="s">
        <v>296</v>
      </c>
      <c r="M176" s="160" t="s">
        <v>297</v>
      </c>
      <c r="N176" s="129"/>
    </row>
    <row r="177" spans="7:14" x14ac:dyDescent="0.2">
      <c r="G177" s="128"/>
      <c r="H177" s="171" t="str">
        <f t="shared" si="6"/>
        <v>DP8-EA/EB29</v>
      </c>
      <c r="I177" s="157">
        <v>6434</v>
      </c>
      <c r="J177" s="158" t="s">
        <v>268</v>
      </c>
      <c r="K177" s="159" t="s">
        <v>269</v>
      </c>
      <c r="L177" s="158" t="s">
        <v>292</v>
      </c>
      <c r="M177" s="160" t="s">
        <v>293</v>
      </c>
      <c r="N177" s="129"/>
    </row>
    <row r="178" spans="7:14" x14ac:dyDescent="0.2">
      <c r="G178" s="128"/>
      <c r="H178" s="171" t="str">
        <f t="shared" si="6"/>
        <v>DP8-EA/EB30</v>
      </c>
      <c r="I178" s="157">
        <v>6435</v>
      </c>
      <c r="J178" s="158" t="s">
        <v>268</v>
      </c>
      <c r="K178" s="159" t="s">
        <v>269</v>
      </c>
      <c r="L178" s="158" t="s">
        <v>294</v>
      </c>
      <c r="M178" s="160" t="s">
        <v>295</v>
      </c>
      <c r="N178" s="129"/>
    </row>
    <row r="179" spans="7:14" x14ac:dyDescent="0.2">
      <c r="G179" s="128"/>
      <c r="H179" s="171" t="str">
        <f t="shared" si="6"/>
        <v>DP8-EA/EB31</v>
      </c>
      <c r="I179" s="157">
        <v>6436</v>
      </c>
      <c r="J179" s="158" t="s">
        <v>268</v>
      </c>
      <c r="K179" s="159" t="s">
        <v>269</v>
      </c>
      <c r="L179" s="158" t="s">
        <v>298</v>
      </c>
      <c r="M179" s="160" t="s">
        <v>299</v>
      </c>
      <c r="N179" s="129"/>
    </row>
    <row r="180" spans="7:14" x14ac:dyDescent="0.2">
      <c r="G180" s="128"/>
      <c r="H180" s="171" t="str">
        <f t="shared" si="6"/>
        <v>DP8-EA/EB32</v>
      </c>
      <c r="I180" s="157">
        <v>6437</v>
      </c>
      <c r="J180" s="158" t="s">
        <v>268</v>
      </c>
      <c r="K180" s="159" t="s">
        <v>269</v>
      </c>
      <c r="L180" s="158" t="s">
        <v>300</v>
      </c>
      <c r="M180" s="160" t="s">
        <v>301</v>
      </c>
      <c r="N180" s="129"/>
    </row>
    <row r="181" spans="7:14" x14ac:dyDescent="0.2">
      <c r="G181" s="128"/>
      <c r="H181" s="171" t="str">
        <f t="shared" si="6"/>
        <v>DP8-EA/EB33</v>
      </c>
      <c r="I181" s="157">
        <v>6440</v>
      </c>
      <c r="J181" s="158" t="s">
        <v>268</v>
      </c>
      <c r="K181" s="159" t="s">
        <v>269</v>
      </c>
      <c r="L181" s="158" t="s">
        <v>274</v>
      </c>
      <c r="M181" s="160" t="s">
        <v>275</v>
      </c>
      <c r="N181" s="129"/>
    </row>
    <row r="182" spans="7:14" x14ac:dyDescent="0.2">
      <c r="G182" s="128"/>
      <c r="H182" s="171" t="str">
        <f t="shared" si="6"/>
        <v>DP8-EA/EB34</v>
      </c>
      <c r="I182" s="157">
        <v>6441</v>
      </c>
      <c r="J182" s="158" t="s">
        <v>268</v>
      </c>
      <c r="K182" s="159" t="s">
        <v>269</v>
      </c>
      <c r="L182" s="158" t="s">
        <v>282</v>
      </c>
      <c r="M182" s="160" t="s">
        <v>283</v>
      </c>
      <c r="N182" s="129"/>
    </row>
    <row r="183" spans="7:14" x14ac:dyDescent="0.2">
      <c r="G183" s="128"/>
      <c r="H183" s="171" t="str">
        <f t="shared" si="6"/>
        <v>DP8-EA/EB35</v>
      </c>
      <c r="I183" s="157">
        <v>6443</v>
      </c>
      <c r="J183" s="158" t="s">
        <v>268</v>
      </c>
      <c r="K183" s="159" t="s">
        <v>269</v>
      </c>
      <c r="L183" s="158" t="s">
        <v>280</v>
      </c>
      <c r="M183" s="160" t="s">
        <v>281</v>
      </c>
      <c r="N183" s="129"/>
    </row>
    <row r="184" spans="7:14" x14ac:dyDescent="0.2">
      <c r="G184" s="128"/>
      <c r="H184" s="171" t="str">
        <f t="shared" si="6"/>
        <v>DP8-EA/EB36</v>
      </c>
      <c r="I184" s="157">
        <v>6444</v>
      </c>
      <c r="J184" s="158" t="s">
        <v>268</v>
      </c>
      <c r="K184" s="159" t="s">
        <v>269</v>
      </c>
      <c r="L184" s="158" t="s">
        <v>272</v>
      </c>
      <c r="M184" s="160" t="s">
        <v>273</v>
      </c>
      <c r="N184" s="129"/>
    </row>
    <row r="185" spans="7:14" x14ac:dyDescent="0.2">
      <c r="G185" s="128"/>
      <c r="H185" s="171" t="str">
        <f t="shared" si="6"/>
        <v>DP8-EA/EB37</v>
      </c>
      <c r="I185" s="157">
        <v>6444</v>
      </c>
      <c r="J185" s="158" t="s">
        <v>268</v>
      </c>
      <c r="K185" s="159" t="s">
        <v>269</v>
      </c>
      <c r="L185" s="158" t="s">
        <v>278</v>
      </c>
      <c r="M185" s="160" t="s">
        <v>279</v>
      </c>
      <c r="N185" s="129"/>
    </row>
    <row r="186" spans="7:14" x14ac:dyDescent="0.2">
      <c r="G186" s="128"/>
      <c r="H186" s="171" t="str">
        <f t="shared" si="6"/>
        <v>DP8-EA/EB38</v>
      </c>
      <c r="I186" s="157">
        <v>6445</v>
      </c>
      <c r="J186" s="158" t="s">
        <v>268</v>
      </c>
      <c r="K186" s="159" t="s">
        <v>269</v>
      </c>
      <c r="L186" s="158" t="s">
        <v>270</v>
      </c>
      <c r="M186" s="160" t="s">
        <v>271</v>
      </c>
      <c r="N186" s="129"/>
    </row>
    <row r="187" spans="7:14" x14ac:dyDescent="0.2">
      <c r="G187" s="128"/>
      <c r="H187" s="171" t="str">
        <f t="shared" si="6"/>
        <v>DP8-EA/EB39</v>
      </c>
      <c r="I187" s="157">
        <v>6446</v>
      </c>
      <c r="J187" s="158" t="s">
        <v>268</v>
      </c>
      <c r="K187" s="159" t="s">
        <v>269</v>
      </c>
      <c r="L187" s="158" t="s">
        <v>276</v>
      </c>
      <c r="M187" s="160" t="s">
        <v>277</v>
      </c>
      <c r="N187" s="129"/>
    </row>
    <row r="188" spans="7:14" x14ac:dyDescent="0.2">
      <c r="G188" s="128"/>
      <c r="H188" s="171" t="str">
        <f t="shared" si="6"/>
        <v>DP8-EA/EB40</v>
      </c>
      <c r="I188" s="157">
        <v>6447</v>
      </c>
      <c r="J188" s="158" t="s">
        <v>268</v>
      </c>
      <c r="K188" s="159" t="s">
        <v>269</v>
      </c>
      <c r="L188" s="158" t="s">
        <v>284</v>
      </c>
      <c r="M188" s="160" t="s">
        <v>285</v>
      </c>
      <c r="N188" s="129"/>
    </row>
    <row r="189" spans="7:14" x14ac:dyDescent="0.2">
      <c r="G189" s="128"/>
      <c r="H189" s="171" t="str">
        <f t="shared" si="6"/>
        <v>DP8-EA/EB41</v>
      </c>
      <c r="I189" s="157">
        <v>6450</v>
      </c>
      <c r="J189" s="158" t="s">
        <v>268</v>
      </c>
      <c r="K189" s="159" t="s">
        <v>269</v>
      </c>
      <c r="L189" s="158" t="s">
        <v>288</v>
      </c>
      <c r="M189" s="160" t="s">
        <v>289</v>
      </c>
      <c r="N189" s="129"/>
    </row>
    <row r="190" spans="7:14" x14ac:dyDescent="0.2">
      <c r="G190" s="128"/>
      <c r="H190" s="171" t="str">
        <f t="shared" si="6"/>
        <v>DP8-EA/EB42</v>
      </c>
      <c r="I190" s="157">
        <v>6451</v>
      </c>
      <c r="J190" s="158" t="s">
        <v>268</v>
      </c>
      <c r="K190" s="159" t="s">
        <v>269</v>
      </c>
      <c r="L190" s="158" t="s">
        <v>290</v>
      </c>
      <c r="M190" s="160" t="s">
        <v>291</v>
      </c>
      <c r="N190" s="129"/>
    </row>
    <row r="191" spans="7:14" x14ac:dyDescent="0.2">
      <c r="G191" s="128"/>
      <c r="H191" s="171" t="str">
        <f t="shared" si="6"/>
        <v>DP8-EA/EB43</v>
      </c>
      <c r="I191" s="157">
        <v>6452</v>
      </c>
      <c r="J191" s="158" t="s">
        <v>268</v>
      </c>
      <c r="K191" s="159" t="s">
        <v>269</v>
      </c>
      <c r="L191" s="158" t="s">
        <v>286</v>
      </c>
      <c r="M191" s="160" t="s">
        <v>287</v>
      </c>
      <c r="N191" s="129"/>
    </row>
    <row r="192" spans="7:14" x14ac:dyDescent="0.2">
      <c r="G192" s="128"/>
      <c r="H192" s="171" t="str">
        <f t="shared" si="6"/>
        <v>DP8-EA/EB44</v>
      </c>
      <c r="I192" s="157">
        <v>6453</v>
      </c>
      <c r="J192" s="158" t="s">
        <v>268</v>
      </c>
      <c r="K192" s="159" t="s">
        <v>269</v>
      </c>
      <c r="L192" s="158" t="s">
        <v>296</v>
      </c>
      <c r="M192" s="160" t="s">
        <v>297</v>
      </c>
      <c r="N192" s="129"/>
    </row>
    <row r="193" spans="7:14" x14ac:dyDescent="0.2">
      <c r="G193" s="128"/>
      <c r="H193" s="171" t="str">
        <f t="shared" si="6"/>
        <v>DP8-EA/EB45</v>
      </c>
      <c r="I193" s="157">
        <v>6454</v>
      </c>
      <c r="J193" s="158" t="s">
        <v>268</v>
      </c>
      <c r="K193" s="159" t="s">
        <v>269</v>
      </c>
      <c r="L193" s="158" t="s">
        <v>292</v>
      </c>
      <c r="M193" s="160" t="s">
        <v>293</v>
      </c>
      <c r="N193" s="129"/>
    </row>
    <row r="194" spans="7:14" x14ac:dyDescent="0.2">
      <c r="G194" s="128"/>
      <c r="H194" s="171" t="str">
        <f t="shared" si="6"/>
        <v>DP8-EA/EB46</v>
      </c>
      <c r="I194" s="157">
        <v>6455</v>
      </c>
      <c r="J194" s="158" t="s">
        <v>268</v>
      </c>
      <c r="K194" s="159" t="s">
        <v>269</v>
      </c>
      <c r="L194" s="158" t="s">
        <v>294</v>
      </c>
      <c r="M194" s="160" t="s">
        <v>295</v>
      </c>
      <c r="N194" s="129"/>
    </row>
    <row r="195" spans="7:14" x14ac:dyDescent="0.2">
      <c r="G195" s="128"/>
      <c r="H195" s="171" t="str">
        <f t="shared" si="6"/>
        <v>DP8-EA/EB47</v>
      </c>
      <c r="I195" s="157">
        <v>6456</v>
      </c>
      <c r="J195" s="158" t="s">
        <v>268</v>
      </c>
      <c r="K195" s="159" t="s">
        <v>269</v>
      </c>
      <c r="L195" s="158" t="s">
        <v>298</v>
      </c>
      <c r="M195" s="160" t="s">
        <v>299</v>
      </c>
      <c r="N195" s="129"/>
    </row>
    <row r="196" spans="7:14" x14ac:dyDescent="0.2">
      <c r="G196" s="128"/>
      <c r="H196" s="171" t="str">
        <f t="shared" si="6"/>
        <v>DP8-EA/EB48</v>
      </c>
      <c r="I196" s="157">
        <v>6457</v>
      </c>
      <c r="J196" s="158" t="s">
        <v>268</v>
      </c>
      <c r="K196" s="159" t="s">
        <v>269</v>
      </c>
      <c r="L196" s="158" t="s">
        <v>300</v>
      </c>
      <c r="M196" s="160" t="s">
        <v>301</v>
      </c>
      <c r="N196" s="129"/>
    </row>
    <row r="197" spans="7:14" x14ac:dyDescent="0.2">
      <c r="G197" s="128"/>
      <c r="H197" s="171" t="str">
        <f t="shared" si="6"/>
        <v>DP8-EA/EB49</v>
      </c>
      <c r="I197" s="157">
        <v>6460</v>
      </c>
      <c r="J197" s="158" t="s">
        <v>268</v>
      </c>
      <c r="K197" s="159" t="s">
        <v>269</v>
      </c>
      <c r="L197" s="158" t="s">
        <v>274</v>
      </c>
      <c r="M197" s="160" t="s">
        <v>275</v>
      </c>
      <c r="N197" s="129"/>
    </row>
    <row r="198" spans="7:14" x14ac:dyDescent="0.2">
      <c r="G198" s="128"/>
      <c r="H198" s="171" t="str">
        <f t="shared" si="6"/>
        <v>DP8-EA/EB50</v>
      </c>
      <c r="I198" s="157">
        <v>6461</v>
      </c>
      <c r="J198" s="158" t="s">
        <v>268</v>
      </c>
      <c r="K198" s="159" t="s">
        <v>269</v>
      </c>
      <c r="L198" s="158" t="s">
        <v>282</v>
      </c>
      <c r="M198" s="160" t="s">
        <v>283</v>
      </c>
      <c r="N198" s="129"/>
    </row>
    <row r="199" spans="7:14" x14ac:dyDescent="0.2">
      <c r="G199" s="128"/>
      <c r="H199" s="171" t="str">
        <f t="shared" si="6"/>
        <v>DP8-EA/EB51</v>
      </c>
      <c r="I199" s="157">
        <v>6463</v>
      </c>
      <c r="J199" s="158" t="s">
        <v>268</v>
      </c>
      <c r="K199" s="159" t="s">
        <v>269</v>
      </c>
      <c r="L199" s="158" t="s">
        <v>280</v>
      </c>
      <c r="M199" s="160" t="s">
        <v>281</v>
      </c>
      <c r="N199" s="129"/>
    </row>
    <row r="200" spans="7:14" x14ac:dyDescent="0.2">
      <c r="G200" s="128"/>
      <c r="H200" s="171" t="str">
        <f t="shared" si="6"/>
        <v>DP8-EA/EB52</v>
      </c>
      <c r="I200" s="157">
        <v>6464</v>
      </c>
      <c r="J200" s="158" t="s">
        <v>268</v>
      </c>
      <c r="K200" s="159" t="s">
        <v>269</v>
      </c>
      <c r="L200" s="158" t="s">
        <v>278</v>
      </c>
      <c r="M200" s="160" t="s">
        <v>279</v>
      </c>
      <c r="N200" s="129"/>
    </row>
    <row r="201" spans="7:14" x14ac:dyDescent="0.2">
      <c r="G201" s="128"/>
      <c r="H201" s="171" t="str">
        <f t="shared" si="6"/>
        <v>DP8-EA/EB53</v>
      </c>
      <c r="I201" s="157">
        <v>6465</v>
      </c>
      <c r="J201" s="158" t="s">
        <v>268</v>
      </c>
      <c r="K201" s="159" t="s">
        <v>269</v>
      </c>
      <c r="L201" s="158" t="s">
        <v>270</v>
      </c>
      <c r="M201" s="160" t="s">
        <v>271</v>
      </c>
      <c r="N201" s="129"/>
    </row>
    <row r="202" spans="7:14" x14ac:dyDescent="0.2">
      <c r="G202" s="128"/>
      <c r="H202" s="171" t="str">
        <f t="shared" si="6"/>
        <v>DP8-EA/EB54</v>
      </c>
      <c r="I202" s="157">
        <v>6465</v>
      </c>
      <c r="J202" s="158" t="s">
        <v>268</v>
      </c>
      <c r="K202" s="159" t="s">
        <v>269</v>
      </c>
      <c r="L202" s="158" t="s">
        <v>272</v>
      </c>
      <c r="M202" s="160" t="s">
        <v>273</v>
      </c>
      <c r="N202" s="129"/>
    </row>
    <row r="203" spans="7:14" x14ac:dyDescent="0.2">
      <c r="G203" s="128"/>
      <c r="H203" s="171" t="str">
        <f t="shared" si="6"/>
        <v>DP8-EA/EB55</v>
      </c>
      <c r="I203" s="157">
        <v>6466</v>
      </c>
      <c r="J203" s="158" t="s">
        <v>268</v>
      </c>
      <c r="K203" s="159" t="s">
        <v>269</v>
      </c>
      <c r="L203" s="158" t="s">
        <v>276</v>
      </c>
      <c r="M203" s="160" t="s">
        <v>277</v>
      </c>
      <c r="N203" s="129"/>
    </row>
    <row r="204" spans="7:14" x14ac:dyDescent="0.2">
      <c r="G204" s="128"/>
      <c r="H204" s="171" t="str">
        <f t="shared" si="6"/>
        <v>DP8-EA/EB56</v>
      </c>
      <c r="I204" s="157">
        <v>6467</v>
      </c>
      <c r="J204" s="158" t="s">
        <v>268</v>
      </c>
      <c r="K204" s="159" t="s">
        <v>269</v>
      </c>
      <c r="L204" s="158" t="s">
        <v>284</v>
      </c>
      <c r="M204" s="160" t="s">
        <v>285</v>
      </c>
      <c r="N204" s="129"/>
    </row>
    <row r="205" spans="7:14" x14ac:dyDescent="0.2">
      <c r="G205" s="128"/>
      <c r="H205" s="171" t="str">
        <f t="shared" si="6"/>
        <v>DP8-EA/EB57</v>
      </c>
      <c r="I205" s="157">
        <v>6470</v>
      </c>
      <c r="J205" s="158" t="s">
        <v>268</v>
      </c>
      <c r="K205" s="159" t="s">
        <v>269</v>
      </c>
      <c r="L205" s="158" t="s">
        <v>288</v>
      </c>
      <c r="M205" s="160" t="s">
        <v>289</v>
      </c>
      <c r="N205" s="129"/>
    </row>
    <row r="206" spans="7:14" x14ac:dyDescent="0.2">
      <c r="G206" s="128"/>
      <c r="H206" s="171" t="str">
        <f t="shared" si="6"/>
        <v>DP8-EA/EB58</v>
      </c>
      <c r="I206" s="157">
        <v>6471</v>
      </c>
      <c r="J206" s="158" t="s">
        <v>268</v>
      </c>
      <c r="K206" s="159" t="s">
        <v>269</v>
      </c>
      <c r="L206" s="158" t="s">
        <v>290</v>
      </c>
      <c r="M206" s="160" t="s">
        <v>291</v>
      </c>
      <c r="N206" s="129"/>
    </row>
    <row r="207" spans="7:14" x14ac:dyDescent="0.2">
      <c r="G207" s="128"/>
      <c r="H207" s="171" t="str">
        <f t="shared" si="6"/>
        <v>DP8-EA/EB59</v>
      </c>
      <c r="I207" s="157">
        <v>6472</v>
      </c>
      <c r="J207" s="158" t="s">
        <v>268</v>
      </c>
      <c r="K207" s="159" t="s">
        <v>269</v>
      </c>
      <c r="L207" s="158" t="s">
        <v>286</v>
      </c>
      <c r="M207" s="160" t="s">
        <v>287</v>
      </c>
      <c r="N207" s="129"/>
    </row>
    <row r="208" spans="7:14" x14ac:dyDescent="0.2">
      <c r="G208" s="128"/>
      <c r="H208" s="171" t="str">
        <f t="shared" si="6"/>
        <v>DP8-EA/EB60</v>
      </c>
      <c r="I208" s="157">
        <v>6473</v>
      </c>
      <c r="J208" s="158" t="s">
        <v>268</v>
      </c>
      <c r="K208" s="159" t="s">
        <v>269</v>
      </c>
      <c r="L208" s="158" t="s">
        <v>296</v>
      </c>
      <c r="M208" s="160" t="s">
        <v>297</v>
      </c>
      <c r="N208" s="129"/>
    </row>
    <row r="209" spans="7:14" x14ac:dyDescent="0.2">
      <c r="G209" s="128"/>
      <c r="H209" s="171" t="str">
        <f t="shared" si="6"/>
        <v>DP8-EA/EB61</v>
      </c>
      <c r="I209" s="157">
        <v>6474</v>
      </c>
      <c r="J209" s="158" t="s">
        <v>268</v>
      </c>
      <c r="K209" s="159" t="s">
        <v>269</v>
      </c>
      <c r="L209" s="158" t="s">
        <v>292</v>
      </c>
      <c r="M209" s="160" t="s">
        <v>293</v>
      </c>
      <c r="N209" s="129"/>
    </row>
    <row r="210" spans="7:14" x14ac:dyDescent="0.2">
      <c r="G210" s="128"/>
      <c r="H210" s="171" t="str">
        <f t="shared" si="6"/>
        <v>DP8-EA/EB62</v>
      </c>
      <c r="I210" s="157">
        <v>6475</v>
      </c>
      <c r="J210" s="158" t="s">
        <v>268</v>
      </c>
      <c r="K210" s="159" t="s">
        <v>269</v>
      </c>
      <c r="L210" s="158" t="s">
        <v>294</v>
      </c>
      <c r="M210" s="160" t="s">
        <v>295</v>
      </c>
      <c r="N210" s="129"/>
    </row>
    <row r="211" spans="7:14" x14ac:dyDescent="0.2">
      <c r="G211" s="128"/>
      <c r="H211" s="171" t="str">
        <f t="shared" si="6"/>
        <v>DP8-EA/EB63</v>
      </c>
      <c r="I211" s="157">
        <v>6476</v>
      </c>
      <c r="J211" s="158" t="s">
        <v>268</v>
      </c>
      <c r="K211" s="159" t="s">
        <v>269</v>
      </c>
      <c r="L211" s="158" t="s">
        <v>298</v>
      </c>
      <c r="M211" s="160" t="s">
        <v>299</v>
      </c>
      <c r="N211" s="129"/>
    </row>
    <row r="212" spans="7:14" ht="17" thickBot="1" x14ac:dyDescent="0.25">
      <c r="G212" s="128"/>
      <c r="H212" s="171" t="str">
        <f t="shared" si="6"/>
        <v>DP8-EA/EB64</v>
      </c>
      <c r="I212" s="161">
        <v>6477</v>
      </c>
      <c r="J212" s="162" t="s">
        <v>268</v>
      </c>
      <c r="K212" s="163" t="s">
        <v>269</v>
      </c>
      <c r="L212" s="162" t="s">
        <v>300</v>
      </c>
      <c r="M212" s="164" t="s">
        <v>301</v>
      </c>
      <c r="N212" s="129"/>
    </row>
    <row r="213" spans="7:14" x14ac:dyDescent="0.2">
      <c r="G213" s="128"/>
      <c r="H213" s="171" t="str">
        <f t="shared" si="6"/>
        <v>XY8/E1</v>
      </c>
      <c r="I213" s="137">
        <v>6500</v>
      </c>
      <c r="J213" s="138" t="s">
        <v>234</v>
      </c>
      <c r="K213" s="143" t="s">
        <v>235</v>
      </c>
      <c r="L213" s="138" t="s">
        <v>236</v>
      </c>
      <c r="M213" s="139" t="s">
        <v>237</v>
      </c>
      <c r="N213" s="129"/>
    </row>
    <row r="214" spans="7:14" x14ac:dyDescent="0.2">
      <c r="G214" s="128"/>
      <c r="H214" s="171" t="str">
        <f t="shared" si="6"/>
        <v>XY8/E2</v>
      </c>
      <c r="I214" s="145">
        <v>6501</v>
      </c>
      <c r="J214" s="146" t="s">
        <v>234</v>
      </c>
      <c r="K214" s="147" t="s">
        <v>235</v>
      </c>
      <c r="L214" s="146" t="s">
        <v>238</v>
      </c>
      <c r="M214" s="165" t="s">
        <v>239</v>
      </c>
      <c r="N214" s="129"/>
    </row>
    <row r="215" spans="7:14" x14ac:dyDescent="0.2">
      <c r="G215" s="128"/>
      <c r="H215" s="171" t="str">
        <f t="shared" si="6"/>
        <v>XY8/E3</v>
      </c>
      <c r="I215" s="145">
        <v>6502</v>
      </c>
      <c r="J215" s="146" t="s">
        <v>234</v>
      </c>
      <c r="K215" s="147" t="s">
        <v>235</v>
      </c>
      <c r="L215" s="146" t="s">
        <v>240</v>
      </c>
      <c r="M215" s="165" t="s">
        <v>241</v>
      </c>
      <c r="N215" s="129"/>
    </row>
    <row r="216" spans="7:14" x14ac:dyDescent="0.2">
      <c r="G216" s="128"/>
      <c r="H216" s="171" t="str">
        <f t="shared" si="6"/>
        <v>XY8/E4</v>
      </c>
      <c r="I216" s="145">
        <v>6503</v>
      </c>
      <c r="J216" s="146" t="s">
        <v>234</v>
      </c>
      <c r="K216" s="147" t="s">
        <v>235</v>
      </c>
      <c r="L216" s="146" t="s">
        <v>242</v>
      </c>
      <c r="M216" s="165" t="s">
        <v>243</v>
      </c>
      <c r="N216" s="129"/>
    </row>
    <row r="217" spans="7:14" x14ac:dyDescent="0.2">
      <c r="G217" s="128"/>
      <c r="H217" s="171" t="str">
        <f t="shared" si="6"/>
        <v>XY8/E5</v>
      </c>
      <c r="I217" s="145">
        <v>6504</v>
      </c>
      <c r="J217" s="146" t="s">
        <v>234</v>
      </c>
      <c r="K217" s="147" t="s">
        <v>235</v>
      </c>
      <c r="L217" s="146" t="s">
        <v>244</v>
      </c>
      <c r="M217" s="165" t="s">
        <v>245</v>
      </c>
      <c r="N217" s="129"/>
    </row>
    <row r="218" spans="7:14" x14ac:dyDescent="0.2">
      <c r="G218" s="128"/>
      <c r="H218" s="171" t="str">
        <f t="shared" si="6"/>
        <v>XY8/E6</v>
      </c>
      <c r="I218" s="145">
        <v>6505</v>
      </c>
      <c r="J218" s="146" t="s">
        <v>234</v>
      </c>
      <c r="K218" s="147" t="s">
        <v>235</v>
      </c>
      <c r="L218" s="146" t="s">
        <v>246</v>
      </c>
      <c r="M218" s="165" t="s">
        <v>247</v>
      </c>
      <c r="N218" s="129"/>
    </row>
    <row r="219" spans="7:14" x14ac:dyDescent="0.2">
      <c r="G219" s="128"/>
      <c r="H219" s="171" t="str">
        <f t="shared" si="6"/>
        <v>XY8/E7</v>
      </c>
      <c r="I219" s="145">
        <v>6506</v>
      </c>
      <c r="J219" s="146" t="s">
        <v>234</v>
      </c>
      <c r="K219" s="147" t="s">
        <v>235</v>
      </c>
      <c r="L219" s="146" t="s">
        <v>248</v>
      </c>
      <c r="M219" s="165" t="s">
        <v>249</v>
      </c>
      <c r="N219" s="129"/>
    </row>
    <row r="220" spans="7:14" ht="17" thickBot="1" x14ac:dyDescent="0.25">
      <c r="G220" s="128"/>
      <c r="H220" s="171" t="str">
        <f t="shared" si="6"/>
        <v>XY8/E8</v>
      </c>
      <c r="I220" s="140">
        <v>6507</v>
      </c>
      <c r="J220" s="141" t="s">
        <v>234</v>
      </c>
      <c r="K220" s="151" t="s">
        <v>235</v>
      </c>
      <c r="L220" s="141" t="s">
        <v>250</v>
      </c>
      <c r="M220" s="142" t="s">
        <v>251</v>
      </c>
      <c r="N220" s="129"/>
    </row>
    <row r="221" spans="7:14" x14ac:dyDescent="0.2">
      <c r="G221" s="128"/>
      <c r="H221" s="171" t="str">
        <f t="shared" si="6"/>
        <v>DB8-E1</v>
      </c>
      <c r="I221" s="153">
        <v>6501</v>
      </c>
      <c r="J221" s="154" t="s">
        <v>429</v>
      </c>
      <c r="K221" s="155" t="s">
        <v>430</v>
      </c>
      <c r="L221" s="154" t="s">
        <v>431</v>
      </c>
      <c r="M221" s="156" t="s">
        <v>432</v>
      </c>
      <c r="N221" s="129"/>
    </row>
    <row r="222" spans="7:14" x14ac:dyDescent="0.2">
      <c r="G222" s="128"/>
      <c r="H222" s="171" t="str">
        <f t="shared" si="6"/>
        <v>DB8-E2</v>
      </c>
      <c r="I222" s="157">
        <v>6502</v>
      </c>
      <c r="J222" s="158" t="s">
        <v>429</v>
      </c>
      <c r="K222" s="159" t="s">
        <v>430</v>
      </c>
      <c r="L222" s="158" t="s">
        <v>433</v>
      </c>
      <c r="M222" s="160" t="s">
        <v>434</v>
      </c>
      <c r="N222" s="129"/>
    </row>
    <row r="223" spans="7:14" x14ac:dyDescent="0.2">
      <c r="G223" s="128"/>
      <c r="H223" s="171" t="str">
        <f t="shared" si="6"/>
        <v>DB8-E3</v>
      </c>
      <c r="I223" s="157">
        <v>6503</v>
      </c>
      <c r="J223" s="158" t="s">
        <v>429</v>
      </c>
      <c r="K223" s="159" t="s">
        <v>430</v>
      </c>
      <c r="L223" s="158" t="s">
        <v>435</v>
      </c>
      <c r="M223" s="160" t="s">
        <v>436</v>
      </c>
      <c r="N223" s="129"/>
    </row>
    <row r="224" spans="7:14" x14ac:dyDescent="0.2">
      <c r="G224" s="128"/>
      <c r="H224" s="171" t="str">
        <f t="shared" si="6"/>
        <v>DB8-E4</v>
      </c>
      <c r="I224" s="157">
        <v>6504</v>
      </c>
      <c r="J224" s="158" t="s">
        <v>429</v>
      </c>
      <c r="K224" s="159" t="s">
        <v>430</v>
      </c>
      <c r="L224" s="158" t="s">
        <v>437</v>
      </c>
      <c r="M224" s="160" t="s">
        <v>438</v>
      </c>
      <c r="N224" s="129"/>
    </row>
    <row r="225" spans="7:14" x14ac:dyDescent="0.2">
      <c r="G225" s="128"/>
      <c r="H225" s="171" t="str">
        <f t="shared" si="6"/>
        <v>DB8-E5</v>
      </c>
      <c r="I225" s="157">
        <v>6505</v>
      </c>
      <c r="J225" s="158" t="s">
        <v>429</v>
      </c>
      <c r="K225" s="159" t="s">
        <v>430</v>
      </c>
      <c r="L225" s="158" t="s">
        <v>415</v>
      </c>
      <c r="M225" s="160" t="s">
        <v>145</v>
      </c>
      <c r="N225" s="129"/>
    </row>
    <row r="226" spans="7:14" ht="17" thickBot="1" x14ac:dyDescent="0.25">
      <c r="G226" s="128"/>
      <c r="H226" s="171" t="str">
        <f t="shared" si="6"/>
        <v>DB8-E6</v>
      </c>
      <c r="I226" s="161">
        <v>6506</v>
      </c>
      <c r="J226" s="162" t="s">
        <v>429</v>
      </c>
      <c r="K226" s="163" t="s">
        <v>430</v>
      </c>
      <c r="L226" s="162" t="s">
        <v>413</v>
      </c>
      <c r="M226" s="164" t="s">
        <v>414</v>
      </c>
      <c r="N226" s="129"/>
    </row>
    <row r="227" spans="7:14" x14ac:dyDescent="0.2">
      <c r="G227" s="128"/>
      <c r="H227" s="171" t="str">
        <f t="shared" si="6"/>
        <v>AD8-EA1</v>
      </c>
      <c r="I227" s="137">
        <v>6530</v>
      </c>
      <c r="J227" s="138" t="s">
        <v>394</v>
      </c>
      <c r="K227" s="143" t="s">
        <v>395</v>
      </c>
      <c r="L227" s="138" t="s">
        <v>396</v>
      </c>
      <c r="M227" s="139" t="s">
        <v>397</v>
      </c>
      <c r="N227" s="129"/>
    </row>
    <row r="228" spans="7:14" x14ac:dyDescent="0.2">
      <c r="G228" s="128"/>
      <c r="H228" s="171" t="str">
        <f t="shared" si="6"/>
        <v>AD8-EA2</v>
      </c>
      <c r="I228" s="145">
        <v>6531</v>
      </c>
      <c r="J228" s="146" t="s">
        <v>394</v>
      </c>
      <c r="K228" s="147" t="s">
        <v>395</v>
      </c>
      <c r="L228" s="146" t="s">
        <v>398</v>
      </c>
      <c r="M228" s="165" t="s">
        <v>399</v>
      </c>
      <c r="N228" s="129"/>
    </row>
    <row r="229" spans="7:14" x14ac:dyDescent="0.2">
      <c r="G229" s="128"/>
      <c r="H229" s="171" t="str">
        <f t="shared" si="6"/>
        <v>AD8-EA3</v>
      </c>
      <c r="I229" s="145">
        <v>6532</v>
      </c>
      <c r="J229" s="146" t="s">
        <v>394</v>
      </c>
      <c r="K229" s="147" t="s">
        <v>395</v>
      </c>
      <c r="L229" s="146" t="s">
        <v>400</v>
      </c>
      <c r="M229" s="165" t="s">
        <v>401</v>
      </c>
      <c r="N229" s="129"/>
    </row>
    <row r="230" spans="7:14" x14ac:dyDescent="0.2">
      <c r="G230" s="128"/>
      <c r="H230" s="171" t="str">
        <f t="shared" si="6"/>
        <v>AD8-EA4</v>
      </c>
      <c r="I230" s="145">
        <v>6533</v>
      </c>
      <c r="J230" s="146" t="s">
        <v>394</v>
      </c>
      <c r="K230" s="147" t="s">
        <v>395</v>
      </c>
      <c r="L230" s="146" t="s">
        <v>402</v>
      </c>
      <c r="M230" s="165" t="s">
        <v>403</v>
      </c>
      <c r="N230" s="129"/>
    </row>
    <row r="231" spans="7:14" x14ac:dyDescent="0.2">
      <c r="G231" s="128"/>
      <c r="H231" s="171" t="str">
        <f t="shared" si="6"/>
        <v>AD8-EA5</v>
      </c>
      <c r="I231" s="145">
        <v>6534</v>
      </c>
      <c r="J231" s="146" t="s">
        <v>394</v>
      </c>
      <c r="K231" s="147" t="s">
        <v>395</v>
      </c>
      <c r="L231" s="146" t="s">
        <v>404</v>
      </c>
      <c r="M231" s="165" t="s">
        <v>405</v>
      </c>
      <c r="N231" s="129"/>
    </row>
    <row r="232" spans="7:14" x14ac:dyDescent="0.2">
      <c r="G232" s="128"/>
      <c r="H232" s="171" t="str">
        <f t="shared" si="6"/>
        <v>AD8-EA6</v>
      </c>
      <c r="I232" s="145">
        <v>6535</v>
      </c>
      <c r="J232" s="146" t="s">
        <v>394</v>
      </c>
      <c r="K232" s="147" t="s">
        <v>395</v>
      </c>
      <c r="L232" s="146" t="s">
        <v>406</v>
      </c>
      <c r="M232" s="165" t="s">
        <v>259</v>
      </c>
      <c r="N232" s="129"/>
    </row>
    <row r="233" spans="7:14" x14ac:dyDescent="0.2">
      <c r="G233" s="128"/>
      <c r="H233" s="171" t="str">
        <f t="shared" si="6"/>
        <v>AD8-EA7</v>
      </c>
      <c r="I233" s="145">
        <v>6536</v>
      </c>
      <c r="J233" s="146" t="s">
        <v>394</v>
      </c>
      <c r="K233" s="147" t="s">
        <v>395</v>
      </c>
      <c r="L233" s="146" t="s">
        <v>407</v>
      </c>
      <c r="M233" s="165" t="s">
        <v>408</v>
      </c>
      <c r="N233" s="129"/>
    </row>
    <row r="234" spans="7:14" ht="17" thickBot="1" x14ac:dyDescent="0.25">
      <c r="G234" s="128"/>
      <c r="H234" s="171" t="str">
        <f t="shared" ref="H234:H297" si="7">IF(J233=J234,CONCATENATE(J234,VALUE(RIGHT(H233,LEN(H233)-LEN(J233)))+1),CONCATENATE(J234,1))</f>
        <v>AD8-EA8</v>
      </c>
      <c r="I234" s="140">
        <v>6537</v>
      </c>
      <c r="J234" s="141" t="s">
        <v>394</v>
      </c>
      <c r="K234" s="151" t="s">
        <v>395</v>
      </c>
      <c r="L234" s="141" t="s">
        <v>409</v>
      </c>
      <c r="M234" s="142" t="s">
        <v>410</v>
      </c>
      <c r="N234" s="129"/>
    </row>
    <row r="235" spans="7:14" x14ac:dyDescent="0.2">
      <c r="G235" s="128"/>
      <c r="H235" s="171" t="str">
        <f t="shared" si="7"/>
        <v>AD01-A1</v>
      </c>
      <c r="I235" s="153">
        <v>6531</v>
      </c>
      <c r="J235" s="154" t="s">
        <v>557</v>
      </c>
      <c r="K235" s="155" t="s">
        <v>558</v>
      </c>
      <c r="L235" s="154" t="s">
        <v>559</v>
      </c>
      <c r="M235" s="156" t="s">
        <v>562</v>
      </c>
      <c r="N235" s="129"/>
    </row>
    <row r="236" spans="7:14" x14ac:dyDescent="0.2">
      <c r="G236" s="128"/>
      <c r="H236" s="171" t="str">
        <f t="shared" si="7"/>
        <v>AD01-A2</v>
      </c>
      <c r="I236" s="157">
        <v>6532</v>
      </c>
      <c r="J236" s="158" t="s">
        <v>557</v>
      </c>
      <c r="K236" s="159" t="s">
        <v>569</v>
      </c>
      <c r="L236" s="158" t="s">
        <v>402</v>
      </c>
      <c r="M236" s="160" t="s">
        <v>403</v>
      </c>
      <c r="N236" s="129"/>
    </row>
    <row r="237" spans="7:14" x14ac:dyDescent="0.2">
      <c r="G237" s="128"/>
      <c r="H237" s="171" t="str">
        <f t="shared" si="7"/>
        <v>AD01-A3</v>
      </c>
      <c r="I237" s="157">
        <v>6534</v>
      </c>
      <c r="J237" s="158" t="s">
        <v>557</v>
      </c>
      <c r="K237" s="159" t="s">
        <v>570</v>
      </c>
      <c r="L237" s="158" t="s">
        <v>560</v>
      </c>
      <c r="M237" s="160" t="s">
        <v>563</v>
      </c>
      <c r="N237" s="129"/>
    </row>
    <row r="238" spans="7:14" x14ac:dyDescent="0.2">
      <c r="G238" s="128"/>
      <c r="H238" s="171" t="str">
        <f t="shared" si="7"/>
        <v>AD01-A4</v>
      </c>
      <c r="I238" s="157">
        <v>6535</v>
      </c>
      <c r="J238" s="158" t="s">
        <v>557</v>
      </c>
      <c r="K238" s="159" t="s">
        <v>571</v>
      </c>
      <c r="L238" s="158" t="s">
        <v>561</v>
      </c>
      <c r="M238" s="160" t="s">
        <v>564</v>
      </c>
      <c r="N238" s="129"/>
    </row>
    <row r="239" spans="7:14" x14ac:dyDescent="0.2">
      <c r="G239" s="128"/>
      <c r="H239" s="171" t="str">
        <f t="shared" si="7"/>
        <v>AD01-A5</v>
      </c>
      <c r="I239" s="157">
        <v>6536</v>
      </c>
      <c r="J239" s="158" t="s">
        <v>557</v>
      </c>
      <c r="K239" s="159" t="s">
        <v>572</v>
      </c>
      <c r="L239" s="158" t="s">
        <v>565</v>
      </c>
      <c r="M239" s="160" t="s">
        <v>567</v>
      </c>
      <c r="N239" s="129"/>
    </row>
    <row r="240" spans="7:14" ht="17" thickBot="1" x14ac:dyDescent="0.25">
      <c r="G240" s="128"/>
      <c r="H240" s="171" t="str">
        <f t="shared" si="7"/>
        <v>AD01-A6</v>
      </c>
      <c r="I240" s="161">
        <v>6537</v>
      </c>
      <c r="J240" s="162" t="s">
        <v>557</v>
      </c>
      <c r="K240" s="163" t="s">
        <v>573</v>
      </c>
      <c r="L240" s="162" t="s">
        <v>566</v>
      </c>
      <c r="M240" s="164" t="s">
        <v>568</v>
      </c>
      <c r="N240" s="129"/>
    </row>
    <row r="241" spans="7:14" x14ac:dyDescent="0.2">
      <c r="G241" s="128"/>
      <c r="H241" s="171" t="str">
        <f t="shared" si="7"/>
        <v>AFC81</v>
      </c>
      <c r="I241" s="137">
        <v>6531</v>
      </c>
      <c r="J241" s="138" t="s">
        <v>574</v>
      </c>
      <c r="K241" s="143" t="s">
        <v>575</v>
      </c>
      <c r="L241" s="138" t="s">
        <v>559</v>
      </c>
      <c r="M241" s="139" t="s">
        <v>580</v>
      </c>
      <c r="N241" s="129"/>
    </row>
    <row r="242" spans="7:14" x14ac:dyDescent="0.2">
      <c r="G242" s="128"/>
      <c r="H242" s="171" t="str">
        <f t="shared" si="7"/>
        <v>AFC82</v>
      </c>
      <c r="I242" s="145">
        <v>6534</v>
      </c>
      <c r="J242" s="146" t="s">
        <v>574</v>
      </c>
      <c r="K242" s="147" t="s">
        <v>575</v>
      </c>
      <c r="L242" s="146" t="s">
        <v>402</v>
      </c>
      <c r="M242" s="165" t="s">
        <v>581</v>
      </c>
      <c r="N242" s="129"/>
    </row>
    <row r="243" spans="7:14" x14ac:dyDescent="0.2">
      <c r="G243" s="128"/>
      <c r="H243" s="171" t="str">
        <f t="shared" si="7"/>
        <v>AFC83</v>
      </c>
      <c r="I243" s="145">
        <v>6542</v>
      </c>
      <c r="J243" s="146" t="s">
        <v>574</v>
      </c>
      <c r="K243" s="147" t="s">
        <v>575</v>
      </c>
      <c r="L243" s="146" t="s">
        <v>576</v>
      </c>
      <c r="M243" s="165" t="s">
        <v>578</v>
      </c>
      <c r="N243" s="129"/>
    </row>
    <row r="244" spans="7:14" ht="17" thickBot="1" x14ac:dyDescent="0.25">
      <c r="G244" s="128"/>
      <c r="H244" s="171" t="str">
        <f t="shared" si="7"/>
        <v>AFC84</v>
      </c>
      <c r="I244" s="140">
        <v>6544</v>
      </c>
      <c r="J244" s="141" t="s">
        <v>574</v>
      </c>
      <c r="K244" s="151" t="s">
        <v>575</v>
      </c>
      <c r="L244" s="141" t="s">
        <v>577</v>
      </c>
      <c r="M244" s="142" t="s">
        <v>579</v>
      </c>
      <c r="N244" s="129"/>
    </row>
    <row r="245" spans="7:14" x14ac:dyDescent="0.2">
      <c r="G245" s="128"/>
      <c r="H245" s="171" t="str">
        <f t="shared" si="7"/>
        <v>AF04A1</v>
      </c>
      <c r="I245" s="153">
        <v>6542</v>
      </c>
      <c r="J245" s="154" t="s">
        <v>582</v>
      </c>
      <c r="K245" s="155" t="s">
        <v>583</v>
      </c>
      <c r="L245" s="154" t="s">
        <v>584</v>
      </c>
      <c r="M245" s="156" t="s">
        <v>586</v>
      </c>
      <c r="N245" s="129"/>
    </row>
    <row r="246" spans="7:14" x14ac:dyDescent="0.2">
      <c r="G246" s="128"/>
      <c r="H246" s="171" t="str">
        <f t="shared" si="7"/>
        <v>AF04A2</v>
      </c>
      <c r="I246" s="157">
        <v>6541</v>
      </c>
      <c r="J246" s="158" t="s">
        <v>582</v>
      </c>
      <c r="K246" s="159" t="s">
        <v>583</v>
      </c>
      <c r="L246" s="158" t="s">
        <v>585</v>
      </c>
      <c r="M246" s="160" t="s">
        <v>587</v>
      </c>
      <c r="N246" s="129"/>
    </row>
    <row r="247" spans="7:14" x14ac:dyDescent="0.2">
      <c r="G247" s="128"/>
      <c r="H247" s="171" t="str">
        <f t="shared" si="7"/>
        <v>AF04A3</v>
      </c>
      <c r="I247" s="157">
        <v>6544</v>
      </c>
      <c r="J247" s="158" t="s">
        <v>582</v>
      </c>
      <c r="K247" s="159" t="s">
        <v>583</v>
      </c>
      <c r="L247" s="158" t="s">
        <v>588</v>
      </c>
      <c r="M247" s="160" t="s">
        <v>591</v>
      </c>
      <c r="N247" s="129"/>
    </row>
    <row r="248" spans="7:14" x14ac:dyDescent="0.2">
      <c r="G248" s="128"/>
      <c r="H248" s="171" t="str">
        <f t="shared" si="7"/>
        <v>AF04A4</v>
      </c>
      <c r="I248" s="157">
        <v>6561</v>
      </c>
      <c r="J248" s="158" t="s">
        <v>582</v>
      </c>
      <c r="K248" s="159" t="s">
        <v>583</v>
      </c>
      <c r="L248" s="158" t="s">
        <v>589</v>
      </c>
      <c r="M248" s="160" t="s">
        <v>592</v>
      </c>
      <c r="N248" s="129"/>
    </row>
    <row r="249" spans="7:14" x14ac:dyDescent="0.2">
      <c r="G249" s="128"/>
      <c r="H249" s="171" t="str">
        <f t="shared" si="7"/>
        <v>AF04A5</v>
      </c>
      <c r="I249" s="157">
        <v>6562</v>
      </c>
      <c r="J249" s="158" t="s">
        <v>582</v>
      </c>
      <c r="K249" s="159" t="s">
        <v>583</v>
      </c>
      <c r="L249" s="158" t="s">
        <v>590</v>
      </c>
      <c r="M249" s="160" t="s">
        <v>593</v>
      </c>
      <c r="N249" s="129"/>
    </row>
    <row r="250" spans="7:14" x14ac:dyDescent="0.2">
      <c r="G250" s="128"/>
      <c r="H250" s="171" t="str">
        <f t="shared" si="7"/>
        <v>AF04A6</v>
      </c>
      <c r="I250" s="157">
        <v>6564</v>
      </c>
      <c r="J250" s="158" t="s">
        <v>582</v>
      </c>
      <c r="K250" s="159" t="s">
        <v>583</v>
      </c>
      <c r="L250" s="158" t="s">
        <v>594</v>
      </c>
      <c r="M250" s="160" t="s">
        <v>596</v>
      </c>
      <c r="N250" s="129"/>
    </row>
    <row r="251" spans="7:14" ht="17" thickBot="1" x14ac:dyDescent="0.25">
      <c r="G251" s="128"/>
      <c r="H251" s="171" t="str">
        <f t="shared" si="7"/>
        <v>AF04A7</v>
      </c>
      <c r="I251" s="161">
        <v>6571</v>
      </c>
      <c r="J251" s="162" t="s">
        <v>582</v>
      </c>
      <c r="K251" s="163" t="s">
        <v>583</v>
      </c>
      <c r="L251" s="162" t="s">
        <v>595</v>
      </c>
      <c r="M251" s="164" t="s">
        <v>597</v>
      </c>
      <c r="N251" s="129"/>
    </row>
    <row r="252" spans="7:14" x14ac:dyDescent="0.2">
      <c r="G252" s="128"/>
      <c r="H252" s="171" t="str">
        <f t="shared" si="7"/>
        <v>FPP-121</v>
      </c>
      <c r="I252" s="137">
        <v>6551</v>
      </c>
      <c r="J252" s="138" t="s">
        <v>690</v>
      </c>
      <c r="K252" s="143" t="s">
        <v>691</v>
      </c>
      <c r="L252" s="138" t="s">
        <v>692</v>
      </c>
      <c r="M252" s="139" t="s">
        <v>699</v>
      </c>
      <c r="N252" s="129"/>
    </row>
    <row r="253" spans="7:14" x14ac:dyDescent="0.2">
      <c r="G253" s="128"/>
      <c r="H253" s="171" t="str">
        <f t="shared" si="7"/>
        <v>FPP-122</v>
      </c>
      <c r="I253" s="145">
        <v>6552</v>
      </c>
      <c r="J253" s="146" t="s">
        <v>690</v>
      </c>
      <c r="K253" s="147" t="s">
        <v>691</v>
      </c>
      <c r="L253" s="146" t="s">
        <v>695</v>
      </c>
      <c r="M253" s="165" t="s">
        <v>702</v>
      </c>
      <c r="N253" s="129"/>
    </row>
    <row r="254" spans="7:14" x14ac:dyDescent="0.2">
      <c r="G254" s="128"/>
      <c r="H254" s="171" t="str">
        <f t="shared" si="7"/>
        <v>FPP-123</v>
      </c>
      <c r="I254" s="145">
        <v>6553</v>
      </c>
      <c r="J254" s="146" t="s">
        <v>690</v>
      </c>
      <c r="K254" s="147" t="s">
        <v>691</v>
      </c>
      <c r="L254" s="146" t="s">
        <v>694</v>
      </c>
      <c r="M254" s="165" t="s">
        <v>701</v>
      </c>
      <c r="N254" s="129"/>
    </row>
    <row r="255" spans="7:14" x14ac:dyDescent="0.2">
      <c r="G255" s="128"/>
      <c r="H255" s="171" t="str">
        <f t="shared" si="7"/>
        <v>FPP-124</v>
      </c>
      <c r="I255" s="145">
        <v>6554</v>
      </c>
      <c r="J255" s="146" t="s">
        <v>690</v>
      </c>
      <c r="K255" s="147" t="s">
        <v>691</v>
      </c>
      <c r="L255" s="146" t="s">
        <v>693</v>
      </c>
      <c r="M255" s="165" t="s">
        <v>700</v>
      </c>
      <c r="N255" s="129"/>
    </row>
    <row r="256" spans="7:14" x14ac:dyDescent="0.2">
      <c r="G256" s="128"/>
      <c r="H256" s="171" t="str">
        <f t="shared" si="7"/>
        <v>FPP-125</v>
      </c>
      <c r="I256" s="145">
        <v>6555</v>
      </c>
      <c r="J256" s="146" t="s">
        <v>690</v>
      </c>
      <c r="K256" s="147" t="s">
        <v>691</v>
      </c>
      <c r="L256" s="146" t="s">
        <v>696</v>
      </c>
      <c r="M256" s="165" t="s">
        <v>703</v>
      </c>
      <c r="N256" s="129"/>
    </row>
    <row r="257" spans="7:14" x14ac:dyDescent="0.2">
      <c r="G257" s="128"/>
      <c r="H257" s="171" t="str">
        <f t="shared" si="7"/>
        <v>FPP-126</v>
      </c>
      <c r="I257" s="145">
        <v>6556</v>
      </c>
      <c r="J257" s="146" t="s">
        <v>690</v>
      </c>
      <c r="K257" s="147" t="s">
        <v>691</v>
      </c>
      <c r="L257" s="146" t="s">
        <v>697</v>
      </c>
      <c r="M257" s="165" t="s">
        <v>704</v>
      </c>
      <c r="N257" s="129"/>
    </row>
    <row r="258" spans="7:14" ht="17" thickBot="1" x14ac:dyDescent="0.25">
      <c r="G258" s="128"/>
      <c r="H258" s="171" t="str">
        <f t="shared" si="7"/>
        <v>FPP-127</v>
      </c>
      <c r="I258" s="140">
        <v>6557</v>
      </c>
      <c r="J258" s="141" t="s">
        <v>690</v>
      </c>
      <c r="K258" s="151" t="s">
        <v>691</v>
      </c>
      <c r="L258" s="141" t="s">
        <v>698</v>
      </c>
      <c r="M258" s="142" t="s">
        <v>705</v>
      </c>
      <c r="N258" s="129"/>
    </row>
    <row r="259" spans="7:14" x14ac:dyDescent="0.2">
      <c r="G259" s="128"/>
      <c r="H259" s="171" t="str">
        <f t="shared" si="7"/>
        <v>AA50-A1</v>
      </c>
      <c r="I259" s="153">
        <v>6551</v>
      </c>
      <c r="J259" s="154" t="s">
        <v>598</v>
      </c>
      <c r="K259" s="155" t="s">
        <v>599</v>
      </c>
      <c r="L259" s="154" t="s">
        <v>600</v>
      </c>
      <c r="M259" s="156" t="s">
        <v>606</v>
      </c>
      <c r="N259" s="129"/>
    </row>
    <row r="260" spans="7:14" x14ac:dyDescent="0.2">
      <c r="G260" s="128"/>
      <c r="H260" s="171" t="str">
        <f t="shared" si="7"/>
        <v>AA50-A2</v>
      </c>
      <c r="I260" s="157">
        <v>6552</v>
      </c>
      <c r="J260" s="158" t="s">
        <v>598</v>
      </c>
      <c r="K260" s="159" t="s">
        <v>599</v>
      </c>
      <c r="L260" s="158" t="s">
        <v>601</v>
      </c>
      <c r="M260" s="160" t="s">
        <v>607</v>
      </c>
      <c r="N260" s="129"/>
    </row>
    <row r="261" spans="7:14" x14ac:dyDescent="0.2">
      <c r="G261" s="128"/>
      <c r="H261" s="171" t="str">
        <f t="shared" si="7"/>
        <v>AA50-A3</v>
      </c>
      <c r="I261" s="157">
        <v>6553</v>
      </c>
      <c r="J261" s="158" t="s">
        <v>598</v>
      </c>
      <c r="K261" s="159" t="s">
        <v>599</v>
      </c>
      <c r="L261" s="158" t="s">
        <v>602</v>
      </c>
      <c r="M261" s="160" t="s">
        <v>608</v>
      </c>
      <c r="N261" s="129"/>
    </row>
    <row r="262" spans="7:14" x14ac:dyDescent="0.2">
      <c r="G262" s="128"/>
      <c r="H262" s="171" t="str">
        <f t="shared" si="7"/>
        <v>AA50-A4</v>
      </c>
      <c r="I262" s="157">
        <v>6554</v>
      </c>
      <c r="J262" s="158" t="s">
        <v>598</v>
      </c>
      <c r="K262" s="159" t="s">
        <v>599</v>
      </c>
      <c r="L262" s="158" t="s">
        <v>603</v>
      </c>
      <c r="M262" s="160" t="s">
        <v>609</v>
      </c>
      <c r="N262" s="129"/>
    </row>
    <row r="263" spans="7:14" x14ac:dyDescent="0.2">
      <c r="G263" s="128"/>
      <c r="H263" s="171" t="str">
        <f t="shared" si="7"/>
        <v>AA50-A5</v>
      </c>
      <c r="I263" s="157">
        <v>6555</v>
      </c>
      <c r="J263" s="158" t="s">
        <v>598</v>
      </c>
      <c r="K263" s="159" t="s">
        <v>599</v>
      </c>
      <c r="L263" s="158" t="s">
        <v>604</v>
      </c>
      <c r="M263" s="160" t="s">
        <v>610</v>
      </c>
      <c r="N263" s="129"/>
    </row>
    <row r="264" spans="7:14" ht="17" thickBot="1" x14ac:dyDescent="0.25">
      <c r="G264" s="128"/>
      <c r="H264" s="171" t="str">
        <f t="shared" si="7"/>
        <v>AA50-A6</v>
      </c>
      <c r="I264" s="161">
        <v>6556</v>
      </c>
      <c r="J264" s="162" t="s">
        <v>598</v>
      </c>
      <c r="K264" s="163" t="s">
        <v>599</v>
      </c>
      <c r="L264" s="162" t="s">
        <v>605</v>
      </c>
      <c r="M264" s="164" t="s">
        <v>611</v>
      </c>
      <c r="N264" s="129"/>
    </row>
    <row r="265" spans="7:14" x14ac:dyDescent="0.2">
      <c r="G265" s="128"/>
      <c r="H265" s="171" t="str">
        <f t="shared" si="7"/>
        <v>AA05-A1</v>
      </c>
      <c r="I265" s="137">
        <v>6551</v>
      </c>
      <c r="J265" s="138" t="s">
        <v>612</v>
      </c>
      <c r="K265" s="143" t="s">
        <v>613</v>
      </c>
      <c r="L265" s="138" t="s">
        <v>614</v>
      </c>
      <c r="M265" s="139" t="s">
        <v>618</v>
      </c>
      <c r="N265" s="129"/>
    </row>
    <row r="266" spans="7:14" x14ac:dyDescent="0.2">
      <c r="G266" s="128"/>
      <c r="H266" s="171" t="str">
        <f t="shared" si="7"/>
        <v>AA05-A2</v>
      </c>
      <c r="I266" s="145">
        <v>6552</v>
      </c>
      <c r="J266" s="146" t="s">
        <v>612</v>
      </c>
      <c r="K266" s="147" t="s">
        <v>613</v>
      </c>
      <c r="L266" s="146" t="s">
        <v>615</v>
      </c>
      <c r="M266" s="165" t="s">
        <v>619</v>
      </c>
      <c r="N266" s="129"/>
    </row>
    <row r="267" spans="7:14" x14ac:dyDescent="0.2">
      <c r="G267" s="128"/>
      <c r="H267" s="171" t="str">
        <f t="shared" si="7"/>
        <v>AA05-A3</v>
      </c>
      <c r="I267" s="145">
        <v>6553</v>
      </c>
      <c r="J267" s="146" t="s">
        <v>612</v>
      </c>
      <c r="K267" s="147" t="s">
        <v>613</v>
      </c>
      <c r="L267" s="146" t="s">
        <v>616</v>
      </c>
      <c r="M267" s="165" t="s">
        <v>621</v>
      </c>
      <c r="N267" s="129"/>
    </row>
    <row r="268" spans="7:14" ht="17" thickBot="1" x14ac:dyDescent="0.25">
      <c r="G268" s="128"/>
      <c r="H268" s="171" t="str">
        <f t="shared" si="7"/>
        <v>AA05-A4</v>
      </c>
      <c r="I268" s="140">
        <v>6554</v>
      </c>
      <c r="J268" s="141" t="s">
        <v>612</v>
      </c>
      <c r="K268" s="151" t="s">
        <v>613</v>
      </c>
      <c r="L268" s="141" t="s">
        <v>617</v>
      </c>
      <c r="M268" s="142" t="s">
        <v>620</v>
      </c>
      <c r="N268" s="129"/>
    </row>
    <row r="269" spans="7:14" x14ac:dyDescent="0.2">
      <c r="G269" s="128"/>
      <c r="H269" s="171" t="str">
        <f t="shared" si="7"/>
        <v>DR8-EA1</v>
      </c>
      <c r="I269" s="153">
        <v>6550</v>
      </c>
      <c r="J269" s="154" t="s">
        <v>411</v>
      </c>
      <c r="K269" s="155" t="s">
        <v>412</v>
      </c>
      <c r="L269" s="154" t="s">
        <v>413</v>
      </c>
      <c r="M269" s="156" t="s">
        <v>414</v>
      </c>
      <c r="N269" s="129"/>
    </row>
    <row r="270" spans="7:14" x14ac:dyDescent="0.2">
      <c r="G270" s="128"/>
      <c r="H270" s="171" t="str">
        <f t="shared" si="7"/>
        <v>DR8-EA2</v>
      </c>
      <c r="I270" s="157">
        <v>6551</v>
      </c>
      <c r="J270" s="158" t="s">
        <v>411</v>
      </c>
      <c r="K270" s="159" t="s">
        <v>412</v>
      </c>
      <c r="L270" s="158" t="s">
        <v>415</v>
      </c>
      <c r="M270" s="160" t="s">
        <v>416</v>
      </c>
      <c r="N270" s="129"/>
    </row>
    <row r="271" spans="7:14" x14ac:dyDescent="0.2">
      <c r="G271" s="128"/>
      <c r="H271" s="171" t="str">
        <f t="shared" si="7"/>
        <v>DR8-EA3</v>
      </c>
      <c r="I271" s="157">
        <v>6552</v>
      </c>
      <c r="J271" s="158" t="s">
        <v>411</v>
      </c>
      <c r="K271" s="159" t="s">
        <v>412</v>
      </c>
      <c r="L271" s="158" t="s">
        <v>417</v>
      </c>
      <c r="M271" s="160" t="s">
        <v>418</v>
      </c>
      <c r="N271" s="129"/>
    </row>
    <row r="272" spans="7:14" x14ac:dyDescent="0.2">
      <c r="G272" s="128"/>
      <c r="H272" s="171" t="str">
        <f t="shared" si="7"/>
        <v>DR8-EA4</v>
      </c>
      <c r="I272" s="157">
        <v>6553</v>
      </c>
      <c r="J272" s="158" t="s">
        <v>411</v>
      </c>
      <c r="K272" s="159" t="s">
        <v>412</v>
      </c>
      <c r="L272" s="158" t="s">
        <v>419</v>
      </c>
      <c r="M272" s="160" t="s">
        <v>420</v>
      </c>
      <c r="N272" s="129"/>
    </row>
    <row r="273" spans="7:14" x14ac:dyDescent="0.2">
      <c r="G273" s="128"/>
      <c r="H273" s="171" t="str">
        <f t="shared" si="7"/>
        <v>DR8-EA5</v>
      </c>
      <c r="I273" s="157">
        <v>6554</v>
      </c>
      <c r="J273" s="158" t="s">
        <v>411</v>
      </c>
      <c r="K273" s="159" t="s">
        <v>412</v>
      </c>
      <c r="L273" s="158" t="s">
        <v>421</v>
      </c>
      <c r="M273" s="160" t="s">
        <v>422</v>
      </c>
      <c r="N273" s="129"/>
    </row>
    <row r="274" spans="7:14" x14ac:dyDescent="0.2">
      <c r="G274" s="128"/>
      <c r="H274" s="171" t="str">
        <f t="shared" si="7"/>
        <v>DR8-EA6</v>
      </c>
      <c r="I274" s="157">
        <v>6555</v>
      </c>
      <c r="J274" s="158" t="s">
        <v>411</v>
      </c>
      <c r="K274" s="159" t="s">
        <v>412</v>
      </c>
      <c r="L274" s="158" t="s">
        <v>423</v>
      </c>
      <c r="M274" s="160" t="s">
        <v>424</v>
      </c>
      <c r="N274" s="129"/>
    </row>
    <row r="275" spans="7:14" x14ac:dyDescent="0.2">
      <c r="G275" s="128"/>
      <c r="H275" s="171" t="str">
        <f t="shared" si="7"/>
        <v>DR8-EA7</v>
      </c>
      <c r="I275" s="157">
        <v>6556</v>
      </c>
      <c r="J275" s="158" t="s">
        <v>411</v>
      </c>
      <c r="K275" s="159" t="s">
        <v>412</v>
      </c>
      <c r="L275" s="158" t="s">
        <v>425</v>
      </c>
      <c r="M275" s="160" t="s">
        <v>426</v>
      </c>
      <c r="N275" s="129"/>
    </row>
    <row r="276" spans="7:14" ht="17" thickBot="1" x14ac:dyDescent="0.25">
      <c r="G276" s="128"/>
      <c r="H276" s="171" t="str">
        <f t="shared" si="7"/>
        <v>DR8-EA8</v>
      </c>
      <c r="I276" s="161">
        <v>6557</v>
      </c>
      <c r="J276" s="162" t="s">
        <v>411</v>
      </c>
      <c r="K276" s="163" t="s">
        <v>412</v>
      </c>
      <c r="L276" s="162" t="s">
        <v>427</v>
      </c>
      <c r="M276" s="164" t="s">
        <v>428</v>
      </c>
      <c r="N276" s="129"/>
    </row>
    <row r="277" spans="7:14" x14ac:dyDescent="0.2">
      <c r="G277" s="128"/>
      <c r="H277" s="171" t="str">
        <f t="shared" si="7"/>
        <v>DF32-D1</v>
      </c>
      <c r="I277" s="137">
        <v>6601</v>
      </c>
      <c r="J277" s="138" t="s">
        <v>481</v>
      </c>
      <c r="K277" s="143" t="s">
        <v>482</v>
      </c>
      <c r="L277" s="138" t="s">
        <v>483</v>
      </c>
      <c r="M277" s="139" t="s">
        <v>486</v>
      </c>
      <c r="N277" s="129"/>
    </row>
    <row r="278" spans="7:14" x14ac:dyDescent="0.2">
      <c r="G278" s="128"/>
      <c r="H278" s="171" t="str">
        <f t="shared" si="7"/>
        <v>DF32-D2</v>
      </c>
      <c r="I278" s="145">
        <v>6603</v>
      </c>
      <c r="J278" s="146" t="s">
        <v>481</v>
      </c>
      <c r="K278" s="147" t="s">
        <v>482</v>
      </c>
      <c r="L278" s="146" t="s">
        <v>484</v>
      </c>
      <c r="M278" s="165" t="s">
        <v>487</v>
      </c>
      <c r="N278" s="129"/>
    </row>
    <row r="279" spans="7:14" x14ac:dyDescent="0.2">
      <c r="G279" s="128"/>
      <c r="H279" s="171" t="str">
        <f t="shared" si="7"/>
        <v>DF32-D3</v>
      </c>
      <c r="I279" s="145">
        <v>6605</v>
      </c>
      <c r="J279" s="146" t="s">
        <v>481</v>
      </c>
      <c r="K279" s="147" t="s">
        <v>482</v>
      </c>
      <c r="L279" s="146" t="s">
        <v>485</v>
      </c>
      <c r="M279" s="165" t="s">
        <v>488</v>
      </c>
      <c r="N279" s="129"/>
    </row>
    <row r="280" spans="7:14" x14ac:dyDescent="0.2">
      <c r="G280" s="128"/>
      <c r="H280" s="171" t="str">
        <f t="shared" si="7"/>
        <v>DF32-D4</v>
      </c>
      <c r="I280" s="145">
        <v>6611</v>
      </c>
      <c r="J280" s="146" t="s">
        <v>481</v>
      </c>
      <c r="K280" s="147" t="s">
        <v>482</v>
      </c>
      <c r="L280" s="146" t="s">
        <v>489</v>
      </c>
      <c r="M280" s="165" t="s">
        <v>493</v>
      </c>
      <c r="N280" s="129"/>
    </row>
    <row r="281" spans="7:14" x14ac:dyDescent="0.2">
      <c r="G281" s="128"/>
      <c r="H281" s="171" t="str">
        <f t="shared" si="7"/>
        <v>DF32-D5</v>
      </c>
      <c r="I281" s="145">
        <v>6612</v>
      </c>
      <c r="J281" s="146" t="s">
        <v>481</v>
      </c>
      <c r="K281" s="147" t="s">
        <v>482</v>
      </c>
      <c r="L281" s="146" t="s">
        <v>490</v>
      </c>
      <c r="M281" s="165" t="s">
        <v>494</v>
      </c>
      <c r="N281" s="129"/>
    </row>
    <row r="282" spans="7:14" x14ac:dyDescent="0.2">
      <c r="G282" s="128"/>
      <c r="H282" s="171" t="str">
        <f t="shared" si="7"/>
        <v>DF32-D6</v>
      </c>
      <c r="I282" s="145">
        <v>6615</v>
      </c>
      <c r="J282" s="146" t="s">
        <v>481</v>
      </c>
      <c r="K282" s="147" t="s">
        <v>482</v>
      </c>
      <c r="L282" s="146" t="s">
        <v>491</v>
      </c>
      <c r="M282" s="165" t="s">
        <v>495</v>
      </c>
      <c r="N282" s="129"/>
    </row>
    <row r="283" spans="7:14" x14ac:dyDescent="0.2">
      <c r="G283" s="128"/>
      <c r="H283" s="171" t="str">
        <f t="shared" si="7"/>
        <v>DF32-D7</v>
      </c>
      <c r="I283" s="145">
        <v>6616</v>
      </c>
      <c r="J283" s="146" t="s">
        <v>481</v>
      </c>
      <c r="K283" s="147" t="s">
        <v>482</v>
      </c>
      <c r="L283" s="146" t="s">
        <v>492</v>
      </c>
      <c r="M283" s="165" t="s">
        <v>496</v>
      </c>
      <c r="N283" s="129"/>
    </row>
    <row r="284" spans="7:14" x14ac:dyDescent="0.2">
      <c r="G284" s="128"/>
      <c r="H284" s="171" t="str">
        <f t="shared" si="7"/>
        <v>DF32-D8</v>
      </c>
      <c r="I284" s="145">
        <v>6621</v>
      </c>
      <c r="J284" s="146" t="s">
        <v>481</v>
      </c>
      <c r="K284" s="147" t="s">
        <v>482</v>
      </c>
      <c r="L284" s="146" t="s">
        <v>497</v>
      </c>
      <c r="M284" s="165" t="s">
        <v>500</v>
      </c>
      <c r="N284" s="129"/>
    </row>
    <row r="285" spans="7:14" x14ac:dyDescent="0.2">
      <c r="G285" s="128"/>
      <c r="H285" s="171" t="str">
        <f t="shared" si="7"/>
        <v>DF32-D9</v>
      </c>
      <c r="I285" s="145">
        <v>6622</v>
      </c>
      <c r="J285" s="146" t="s">
        <v>481</v>
      </c>
      <c r="K285" s="147" t="s">
        <v>482</v>
      </c>
      <c r="L285" s="146" t="s">
        <v>498</v>
      </c>
      <c r="M285" s="165" t="s">
        <v>501</v>
      </c>
      <c r="N285" s="129"/>
    </row>
    <row r="286" spans="7:14" ht="17" thickBot="1" x14ac:dyDescent="0.25">
      <c r="G286" s="128"/>
      <c r="H286" s="171" t="str">
        <f t="shared" si="7"/>
        <v>DF32-D10</v>
      </c>
      <c r="I286" s="140">
        <v>6626</v>
      </c>
      <c r="J286" s="141" t="s">
        <v>481</v>
      </c>
      <c r="K286" s="151" t="s">
        <v>482</v>
      </c>
      <c r="L286" s="141" t="s">
        <v>499</v>
      </c>
      <c r="M286" s="142" t="s">
        <v>502</v>
      </c>
      <c r="N286" s="129"/>
    </row>
    <row r="287" spans="7:14" x14ac:dyDescent="0.2">
      <c r="G287" s="128"/>
      <c r="H287" s="171" t="str">
        <f t="shared" si="7"/>
        <v>RF081</v>
      </c>
      <c r="I287" s="153">
        <v>6611</v>
      </c>
      <c r="J287" s="154" t="s">
        <v>503</v>
      </c>
      <c r="K287" s="155" t="s">
        <v>504</v>
      </c>
      <c r="L287" s="154" t="s">
        <v>505</v>
      </c>
      <c r="M287" s="156" t="s">
        <v>507</v>
      </c>
      <c r="N287" s="129"/>
    </row>
    <row r="288" spans="7:14" x14ac:dyDescent="0.2">
      <c r="G288" s="128"/>
      <c r="H288" s="171" t="str">
        <f t="shared" si="7"/>
        <v>RF082</v>
      </c>
      <c r="I288" s="157">
        <v>6615</v>
      </c>
      <c r="J288" s="158" t="s">
        <v>503</v>
      </c>
      <c r="K288" s="159" t="s">
        <v>504</v>
      </c>
      <c r="L288" s="158" t="s">
        <v>506</v>
      </c>
      <c r="M288" s="160" t="s">
        <v>508</v>
      </c>
      <c r="N288" s="129"/>
    </row>
    <row r="289" spans="7:14" x14ac:dyDescent="0.2">
      <c r="G289" s="128"/>
      <c r="H289" s="171" t="str">
        <f t="shared" si="7"/>
        <v>RF083</v>
      </c>
      <c r="I289" s="157">
        <v>6616</v>
      </c>
      <c r="J289" s="158" t="s">
        <v>503</v>
      </c>
      <c r="K289" s="159" t="s">
        <v>504</v>
      </c>
      <c r="L289" s="158" t="s">
        <v>509</v>
      </c>
      <c r="M289" s="160" t="s">
        <v>510</v>
      </c>
      <c r="N289" s="129"/>
    </row>
    <row r="290" spans="7:14" x14ac:dyDescent="0.2">
      <c r="G290" s="128"/>
      <c r="H290" s="171" t="str">
        <f t="shared" si="7"/>
        <v>RF084</v>
      </c>
      <c r="I290" s="157">
        <v>6621</v>
      </c>
      <c r="J290" s="158" t="s">
        <v>503</v>
      </c>
      <c r="K290" s="159" t="s">
        <v>504</v>
      </c>
      <c r="L290" s="158" t="s">
        <v>497</v>
      </c>
      <c r="M290" s="160" t="s">
        <v>477</v>
      </c>
      <c r="N290" s="129"/>
    </row>
    <row r="291" spans="7:14" x14ac:dyDescent="0.2">
      <c r="G291" s="128"/>
      <c r="H291" s="171" t="str">
        <f t="shared" si="7"/>
        <v>RF085</v>
      </c>
      <c r="I291" s="157">
        <v>6623</v>
      </c>
      <c r="J291" s="158" t="s">
        <v>503</v>
      </c>
      <c r="K291" s="159" t="s">
        <v>504</v>
      </c>
      <c r="L291" s="158" t="s">
        <v>511</v>
      </c>
      <c r="M291" s="160" t="s">
        <v>513</v>
      </c>
      <c r="N291" s="129"/>
    </row>
    <row r="292" spans="7:14" x14ac:dyDescent="0.2">
      <c r="G292" s="128"/>
      <c r="H292" s="171" t="str">
        <f t="shared" si="7"/>
        <v>RF086</v>
      </c>
      <c r="I292" s="157">
        <v>6641</v>
      </c>
      <c r="J292" s="158" t="s">
        <v>503</v>
      </c>
      <c r="K292" s="159" t="s">
        <v>504</v>
      </c>
      <c r="L292" s="158" t="s">
        <v>512</v>
      </c>
      <c r="M292" s="160" t="s">
        <v>514</v>
      </c>
      <c r="N292" s="129"/>
    </row>
    <row r="293" spans="7:14" x14ac:dyDescent="0.2">
      <c r="G293" s="128"/>
      <c r="H293" s="171" t="str">
        <f t="shared" si="7"/>
        <v>RF087</v>
      </c>
      <c r="I293" s="157">
        <v>6643</v>
      </c>
      <c r="J293" s="158" t="s">
        <v>503</v>
      </c>
      <c r="K293" s="159" t="s">
        <v>504</v>
      </c>
      <c r="L293" s="158" t="s">
        <v>515</v>
      </c>
      <c r="M293" s="160" t="s">
        <v>516</v>
      </c>
      <c r="N293" s="129"/>
    </row>
    <row r="294" spans="7:14" x14ac:dyDescent="0.2">
      <c r="G294" s="128"/>
      <c r="H294" s="171" t="str">
        <f t="shared" si="7"/>
        <v>RF088</v>
      </c>
      <c r="I294" s="157">
        <v>6645</v>
      </c>
      <c r="J294" s="158" t="s">
        <v>503</v>
      </c>
      <c r="K294" s="159" t="s">
        <v>504</v>
      </c>
      <c r="L294" s="158" t="s">
        <v>517</v>
      </c>
      <c r="M294" s="160" t="s">
        <v>518</v>
      </c>
      <c r="N294" s="129"/>
    </row>
    <row r="295" spans="7:14" ht="17" thickBot="1" x14ac:dyDescent="0.25">
      <c r="G295" s="128"/>
      <c r="H295" s="171" t="str">
        <f t="shared" si="7"/>
        <v>RF089</v>
      </c>
      <c r="I295" s="161">
        <v>6646</v>
      </c>
      <c r="J295" s="158" t="s">
        <v>503</v>
      </c>
      <c r="K295" s="163" t="s">
        <v>504</v>
      </c>
      <c r="L295" s="162" t="s">
        <v>519</v>
      </c>
      <c r="M295" s="164" t="s">
        <v>520</v>
      </c>
      <c r="N295" s="129"/>
    </row>
    <row r="296" spans="7:14" x14ac:dyDescent="0.2">
      <c r="G296" s="128"/>
      <c r="H296" s="171" t="str">
        <f t="shared" si="7"/>
        <v>CR8-E1</v>
      </c>
      <c r="I296" s="137">
        <v>6631</v>
      </c>
      <c r="J296" s="138" t="s">
        <v>329</v>
      </c>
      <c r="K296" s="143" t="s">
        <v>330</v>
      </c>
      <c r="L296" s="138" t="s">
        <v>331</v>
      </c>
      <c r="M296" s="139" t="s">
        <v>332</v>
      </c>
      <c r="N296" s="129"/>
    </row>
    <row r="297" spans="7:14" x14ac:dyDescent="0.2">
      <c r="G297" s="128"/>
      <c r="H297" s="171" t="str">
        <f t="shared" si="7"/>
        <v>CR8-E2</v>
      </c>
      <c r="I297" s="145">
        <v>6632</v>
      </c>
      <c r="J297" s="146" t="s">
        <v>329</v>
      </c>
      <c r="K297" s="147" t="s">
        <v>330</v>
      </c>
      <c r="L297" s="146" t="s">
        <v>333</v>
      </c>
      <c r="M297" s="165" t="s">
        <v>334</v>
      </c>
      <c r="N297" s="129"/>
    </row>
    <row r="298" spans="7:14" x14ac:dyDescent="0.2">
      <c r="G298" s="128"/>
      <c r="H298" s="171" t="str">
        <f t="shared" ref="H298:H361" si="8">IF(J297=J298,CONCATENATE(J298,VALUE(RIGHT(H297,LEN(H297)-LEN(J297)))+1),CONCATENATE(J298,1))</f>
        <v>CR8-E3</v>
      </c>
      <c r="I298" s="145">
        <v>6634</v>
      </c>
      <c r="J298" s="146" t="s">
        <v>329</v>
      </c>
      <c r="K298" s="147" t="s">
        <v>330</v>
      </c>
      <c r="L298" s="146" t="s">
        <v>335</v>
      </c>
      <c r="M298" s="165" t="s">
        <v>336</v>
      </c>
      <c r="N298" s="129"/>
    </row>
    <row r="299" spans="7:14" x14ac:dyDescent="0.2">
      <c r="G299" s="128"/>
      <c r="H299" s="171" t="str">
        <f t="shared" si="8"/>
        <v>CR8-E4</v>
      </c>
      <c r="I299" s="145">
        <v>6635</v>
      </c>
      <c r="J299" s="146" t="s">
        <v>329</v>
      </c>
      <c r="K299" s="147" t="s">
        <v>330</v>
      </c>
      <c r="L299" s="146" t="s">
        <v>337</v>
      </c>
      <c r="M299" s="165" t="s">
        <v>338</v>
      </c>
      <c r="N299" s="129"/>
    </row>
    <row r="300" spans="7:14" x14ac:dyDescent="0.2">
      <c r="G300" s="128"/>
      <c r="H300" s="171" t="str">
        <f t="shared" si="8"/>
        <v>CR8-E5</v>
      </c>
      <c r="I300" s="145">
        <v>6636</v>
      </c>
      <c r="J300" s="146" t="s">
        <v>329</v>
      </c>
      <c r="K300" s="147" t="s">
        <v>330</v>
      </c>
      <c r="L300" s="146" t="s">
        <v>339</v>
      </c>
      <c r="M300" s="165" t="s">
        <v>340</v>
      </c>
      <c r="N300" s="129"/>
    </row>
    <row r="301" spans="7:14" x14ac:dyDescent="0.2">
      <c r="G301" s="128"/>
      <c r="H301" s="171" t="str">
        <f t="shared" si="8"/>
        <v>CR8-E6</v>
      </c>
      <c r="I301" s="145">
        <v>6637</v>
      </c>
      <c r="J301" s="146" t="s">
        <v>329</v>
      </c>
      <c r="K301" s="147" t="s">
        <v>330</v>
      </c>
      <c r="L301" s="146" t="s">
        <v>341</v>
      </c>
      <c r="M301" s="165" t="s">
        <v>342</v>
      </c>
      <c r="N301" s="129"/>
    </row>
    <row r="302" spans="7:14" x14ac:dyDescent="0.2">
      <c r="G302" s="128"/>
      <c r="H302" s="171" t="str">
        <f t="shared" si="8"/>
        <v>CR8-E7</v>
      </c>
      <c r="I302" s="145">
        <v>6671</v>
      </c>
      <c r="J302" s="146" t="s">
        <v>329</v>
      </c>
      <c r="K302" s="147" t="s">
        <v>330</v>
      </c>
      <c r="L302" s="146" t="s">
        <v>343</v>
      </c>
      <c r="M302" s="165" t="s">
        <v>344</v>
      </c>
      <c r="N302" s="129"/>
    </row>
    <row r="303" spans="7:14" x14ac:dyDescent="0.2">
      <c r="G303" s="128"/>
      <c r="H303" s="171" t="str">
        <f t="shared" si="8"/>
        <v>CR8-E8</v>
      </c>
      <c r="I303" s="145">
        <v>6672</v>
      </c>
      <c r="J303" s="146" t="s">
        <v>329</v>
      </c>
      <c r="K303" s="147" t="s">
        <v>330</v>
      </c>
      <c r="L303" s="146" t="s">
        <v>345</v>
      </c>
      <c r="M303" s="165" t="s">
        <v>346</v>
      </c>
      <c r="N303" s="129"/>
    </row>
    <row r="304" spans="7:14" x14ac:dyDescent="0.2">
      <c r="G304" s="128"/>
      <c r="H304" s="171" t="str">
        <f t="shared" si="8"/>
        <v>CR8-E9</v>
      </c>
      <c r="I304" s="145">
        <v>6674</v>
      </c>
      <c r="J304" s="146" t="s">
        <v>329</v>
      </c>
      <c r="K304" s="147" t="s">
        <v>330</v>
      </c>
      <c r="L304" s="146" t="s">
        <v>347</v>
      </c>
      <c r="M304" s="165" t="s">
        <v>348</v>
      </c>
      <c r="N304" s="129"/>
    </row>
    <row r="305" spans="7:14" x14ac:dyDescent="0.2">
      <c r="G305" s="128"/>
      <c r="H305" s="171" t="str">
        <f t="shared" si="8"/>
        <v>CR8-E10</v>
      </c>
      <c r="I305" s="145">
        <v>6675</v>
      </c>
      <c r="J305" s="146" t="s">
        <v>329</v>
      </c>
      <c r="K305" s="147" t="s">
        <v>330</v>
      </c>
      <c r="L305" s="146" t="s">
        <v>349</v>
      </c>
      <c r="M305" s="165" t="s">
        <v>350</v>
      </c>
      <c r="N305" s="129"/>
    </row>
    <row r="306" spans="7:14" ht="17" thickBot="1" x14ac:dyDescent="0.25">
      <c r="G306" s="128"/>
      <c r="H306" s="171" t="str">
        <f t="shared" si="8"/>
        <v>CR8-E11</v>
      </c>
      <c r="I306" s="140">
        <v>6677</v>
      </c>
      <c r="J306" s="141" t="s">
        <v>329</v>
      </c>
      <c r="K306" s="151" t="s">
        <v>330</v>
      </c>
      <c r="L306" s="141" t="s">
        <v>351</v>
      </c>
      <c r="M306" s="142" t="s">
        <v>352</v>
      </c>
      <c r="N306" s="129"/>
    </row>
    <row r="307" spans="7:14" x14ac:dyDescent="0.2">
      <c r="G307" s="128"/>
      <c r="H307" s="171" t="str">
        <f t="shared" si="8"/>
        <v>LE8-01</v>
      </c>
      <c r="I307" s="153">
        <v>6661</v>
      </c>
      <c r="J307" s="154" t="s">
        <v>850</v>
      </c>
      <c r="K307" s="155" t="s">
        <v>253</v>
      </c>
      <c r="L307" s="154" t="s">
        <v>254</v>
      </c>
      <c r="M307" s="156" t="s">
        <v>255</v>
      </c>
      <c r="N307" s="129"/>
    </row>
    <row r="308" spans="7:14" x14ac:dyDescent="0.2">
      <c r="G308" s="128"/>
      <c r="H308" s="171" t="str">
        <f t="shared" si="8"/>
        <v>LE8-02</v>
      </c>
      <c r="I308" s="157">
        <v>6662</v>
      </c>
      <c r="J308" s="158" t="s">
        <v>850</v>
      </c>
      <c r="K308" s="159" t="s">
        <v>253</v>
      </c>
      <c r="L308" s="158" t="s">
        <v>256</v>
      </c>
      <c r="M308" s="160" t="s">
        <v>257</v>
      </c>
      <c r="N308" s="129"/>
    </row>
    <row r="309" spans="7:14" x14ac:dyDescent="0.2">
      <c r="G309" s="128"/>
      <c r="H309" s="171" t="str">
        <f t="shared" si="8"/>
        <v>LE8-03</v>
      </c>
      <c r="I309" s="157">
        <v>6663</v>
      </c>
      <c r="J309" s="158" t="s">
        <v>850</v>
      </c>
      <c r="K309" s="159" t="s">
        <v>253</v>
      </c>
      <c r="L309" s="158" t="s">
        <v>258</v>
      </c>
      <c r="M309" s="160" t="s">
        <v>259</v>
      </c>
      <c r="N309" s="129"/>
    </row>
    <row r="310" spans="7:14" x14ac:dyDescent="0.2">
      <c r="G310" s="128"/>
      <c r="H310" s="171" t="str">
        <f t="shared" si="8"/>
        <v>LE8-04</v>
      </c>
      <c r="I310" s="157">
        <v>6664</v>
      </c>
      <c r="J310" s="158" t="s">
        <v>850</v>
      </c>
      <c r="K310" s="159" t="s">
        <v>253</v>
      </c>
      <c r="L310" s="158" t="s">
        <v>260</v>
      </c>
      <c r="M310" s="160" t="s">
        <v>261</v>
      </c>
      <c r="N310" s="129"/>
    </row>
    <row r="311" spans="7:14" x14ac:dyDescent="0.2">
      <c r="G311" s="128"/>
      <c r="H311" s="171" t="str">
        <f t="shared" si="8"/>
        <v>LE8-05</v>
      </c>
      <c r="I311" s="157">
        <v>6665</v>
      </c>
      <c r="J311" s="158" t="s">
        <v>850</v>
      </c>
      <c r="K311" s="159" t="s">
        <v>253</v>
      </c>
      <c r="L311" s="158" t="s">
        <v>262</v>
      </c>
      <c r="M311" s="160" t="s">
        <v>263</v>
      </c>
      <c r="N311" s="129"/>
    </row>
    <row r="312" spans="7:14" x14ac:dyDescent="0.2">
      <c r="G312" s="128"/>
      <c r="H312" s="171" t="str">
        <f t="shared" si="8"/>
        <v>LE8-06</v>
      </c>
      <c r="I312" s="157">
        <v>6666</v>
      </c>
      <c r="J312" s="158" t="s">
        <v>850</v>
      </c>
      <c r="K312" s="159" t="s">
        <v>253</v>
      </c>
      <c r="L312" s="158" t="s">
        <v>264</v>
      </c>
      <c r="M312" s="160" t="s">
        <v>265</v>
      </c>
      <c r="N312" s="129"/>
    </row>
    <row r="313" spans="7:14" ht="17" thickBot="1" x14ac:dyDescent="0.25">
      <c r="G313" s="128"/>
      <c r="H313" s="171" t="str">
        <f t="shared" si="8"/>
        <v>LE8-07</v>
      </c>
      <c r="I313" s="161">
        <v>6667</v>
      </c>
      <c r="J313" s="162" t="s">
        <v>850</v>
      </c>
      <c r="K313" s="163" t="s">
        <v>253</v>
      </c>
      <c r="L313" s="162" t="s">
        <v>266</v>
      </c>
      <c r="M313" s="164" t="s">
        <v>267</v>
      </c>
      <c r="N313" s="129"/>
    </row>
    <row r="314" spans="7:14" x14ac:dyDescent="0.2">
      <c r="G314" s="128"/>
      <c r="H314" s="171" t="str">
        <f t="shared" si="8"/>
        <v>TD8-E1</v>
      </c>
      <c r="I314" s="137">
        <v>6701</v>
      </c>
      <c r="J314" s="138" t="s">
        <v>353</v>
      </c>
      <c r="K314" s="143" t="s">
        <v>354</v>
      </c>
      <c r="L314" s="138" t="s">
        <v>355</v>
      </c>
      <c r="M314" s="139" t="s">
        <v>356</v>
      </c>
      <c r="N314" s="129"/>
    </row>
    <row r="315" spans="7:14" x14ac:dyDescent="0.2">
      <c r="G315" s="128"/>
      <c r="H315" s="171" t="str">
        <f t="shared" si="8"/>
        <v>TD8-E2</v>
      </c>
      <c r="I315" s="145">
        <v>6702</v>
      </c>
      <c r="J315" s="146" t="s">
        <v>353</v>
      </c>
      <c r="K315" s="147" t="s">
        <v>354</v>
      </c>
      <c r="L315" s="146" t="s">
        <v>357</v>
      </c>
      <c r="M315" s="165" t="s">
        <v>358</v>
      </c>
      <c r="N315" s="129"/>
    </row>
    <row r="316" spans="7:14" x14ac:dyDescent="0.2">
      <c r="G316" s="128"/>
      <c r="H316" s="171" t="str">
        <f t="shared" si="8"/>
        <v>TD8-E3</v>
      </c>
      <c r="I316" s="145">
        <v>6703</v>
      </c>
      <c r="J316" s="146" t="s">
        <v>353</v>
      </c>
      <c r="K316" s="147" t="s">
        <v>354</v>
      </c>
      <c r="L316" s="146" t="s">
        <v>359</v>
      </c>
      <c r="M316" s="165" t="s">
        <v>360</v>
      </c>
      <c r="N316" s="129"/>
    </row>
    <row r="317" spans="7:14" x14ac:dyDescent="0.2">
      <c r="G317" s="128"/>
      <c r="H317" s="171" t="str">
        <f t="shared" si="8"/>
        <v>TD8-E4</v>
      </c>
      <c r="I317" s="145">
        <v>6704</v>
      </c>
      <c r="J317" s="146" t="s">
        <v>353</v>
      </c>
      <c r="K317" s="147" t="s">
        <v>354</v>
      </c>
      <c r="L317" s="146" t="s">
        <v>361</v>
      </c>
      <c r="M317" s="165" t="s">
        <v>362</v>
      </c>
      <c r="N317" s="129"/>
    </row>
    <row r="318" spans="7:14" x14ac:dyDescent="0.2">
      <c r="G318" s="128"/>
      <c r="H318" s="171" t="str">
        <f t="shared" si="8"/>
        <v>TD8-E5</v>
      </c>
      <c r="I318" s="145">
        <v>6705</v>
      </c>
      <c r="J318" s="146" t="s">
        <v>353</v>
      </c>
      <c r="K318" s="147" t="s">
        <v>354</v>
      </c>
      <c r="L318" s="146" t="s">
        <v>363</v>
      </c>
      <c r="M318" s="165" t="s">
        <v>364</v>
      </c>
      <c r="N318" s="129"/>
    </row>
    <row r="319" spans="7:14" x14ac:dyDescent="0.2">
      <c r="G319" s="128"/>
      <c r="H319" s="171" t="str">
        <f t="shared" si="8"/>
        <v>TD8-E6</v>
      </c>
      <c r="I319" s="145">
        <v>6706</v>
      </c>
      <c r="J319" s="146" t="s">
        <v>353</v>
      </c>
      <c r="K319" s="147" t="s">
        <v>354</v>
      </c>
      <c r="L319" s="146" t="s">
        <v>365</v>
      </c>
      <c r="M319" s="165" t="s">
        <v>366</v>
      </c>
      <c r="N319" s="129"/>
    </row>
    <row r="320" spans="7:14" x14ac:dyDescent="0.2">
      <c r="G320" s="128"/>
      <c r="H320" s="171" t="str">
        <f t="shared" si="8"/>
        <v>TD8-E7</v>
      </c>
      <c r="I320" s="145">
        <v>6707</v>
      </c>
      <c r="J320" s="146" t="s">
        <v>353</v>
      </c>
      <c r="K320" s="147" t="s">
        <v>354</v>
      </c>
      <c r="L320" s="146" t="s">
        <v>367</v>
      </c>
      <c r="M320" s="165" t="s">
        <v>368</v>
      </c>
      <c r="N320" s="129"/>
    </row>
    <row r="321" spans="7:14" x14ac:dyDescent="0.2">
      <c r="G321" s="128"/>
      <c r="H321" s="171" t="str">
        <f t="shared" si="8"/>
        <v>TD8-E8</v>
      </c>
      <c r="I321" s="145">
        <v>6711</v>
      </c>
      <c r="J321" s="146" t="s">
        <v>353</v>
      </c>
      <c r="K321" s="147" t="s">
        <v>354</v>
      </c>
      <c r="L321" s="146" t="s">
        <v>369</v>
      </c>
      <c r="M321" s="165" t="s">
        <v>370</v>
      </c>
      <c r="N321" s="129"/>
    </row>
    <row r="322" spans="7:14" x14ac:dyDescent="0.2">
      <c r="G322" s="128"/>
      <c r="H322" s="171" t="str">
        <f t="shared" si="8"/>
        <v>TD8-E9</v>
      </c>
      <c r="I322" s="145">
        <v>6712</v>
      </c>
      <c r="J322" s="146" t="s">
        <v>353</v>
      </c>
      <c r="K322" s="147" t="s">
        <v>354</v>
      </c>
      <c r="L322" s="146" t="s">
        <v>371</v>
      </c>
      <c r="M322" s="165" t="s">
        <v>372</v>
      </c>
      <c r="N322" s="129"/>
    </row>
    <row r="323" spans="7:14" x14ac:dyDescent="0.2">
      <c r="G323" s="128"/>
      <c r="H323" s="171" t="str">
        <f t="shared" si="8"/>
        <v>TD8-E10</v>
      </c>
      <c r="I323" s="145">
        <v>6713</v>
      </c>
      <c r="J323" s="146" t="s">
        <v>353</v>
      </c>
      <c r="K323" s="147" t="s">
        <v>354</v>
      </c>
      <c r="L323" s="146" t="s">
        <v>373</v>
      </c>
      <c r="M323" s="165" t="s">
        <v>374</v>
      </c>
      <c r="N323" s="129"/>
    </row>
    <row r="324" spans="7:14" x14ac:dyDescent="0.2">
      <c r="G324" s="128"/>
      <c r="H324" s="171" t="str">
        <f t="shared" si="8"/>
        <v>TD8-E11</v>
      </c>
      <c r="I324" s="145">
        <v>6714</v>
      </c>
      <c r="J324" s="146" t="s">
        <v>353</v>
      </c>
      <c r="K324" s="147" t="s">
        <v>354</v>
      </c>
      <c r="L324" s="146" t="s">
        <v>375</v>
      </c>
      <c r="M324" s="165" t="s">
        <v>376</v>
      </c>
      <c r="N324" s="129"/>
    </row>
    <row r="325" spans="7:14" x14ac:dyDescent="0.2">
      <c r="G325" s="128"/>
      <c r="H325" s="171" t="str">
        <f t="shared" si="8"/>
        <v>TD8-E12</v>
      </c>
      <c r="I325" s="145">
        <v>6715</v>
      </c>
      <c r="J325" s="146" t="s">
        <v>353</v>
      </c>
      <c r="K325" s="147" t="s">
        <v>354</v>
      </c>
      <c r="L325" s="146" t="s">
        <v>377</v>
      </c>
      <c r="M325" s="165" t="s">
        <v>378</v>
      </c>
      <c r="N325" s="129"/>
    </row>
    <row r="326" spans="7:14" x14ac:dyDescent="0.2">
      <c r="G326" s="128"/>
      <c r="H326" s="171" t="str">
        <f t="shared" si="8"/>
        <v>TD8-E13</v>
      </c>
      <c r="I326" s="145">
        <v>6716</v>
      </c>
      <c r="J326" s="146" t="s">
        <v>353</v>
      </c>
      <c r="K326" s="147" t="s">
        <v>354</v>
      </c>
      <c r="L326" s="146" t="s">
        <v>379</v>
      </c>
      <c r="M326" s="165" t="s">
        <v>380</v>
      </c>
      <c r="N326" s="129"/>
    </row>
    <row r="327" spans="7:14" x14ac:dyDescent="0.2">
      <c r="G327" s="128"/>
      <c r="H327" s="171" t="str">
        <f t="shared" si="8"/>
        <v>TD8-E14</v>
      </c>
      <c r="I327" s="145">
        <v>6717</v>
      </c>
      <c r="J327" s="146" t="s">
        <v>353</v>
      </c>
      <c r="K327" s="147" t="s">
        <v>354</v>
      </c>
      <c r="L327" s="146" t="s">
        <v>381</v>
      </c>
      <c r="M327" s="165" t="s">
        <v>382</v>
      </c>
      <c r="N327" s="129"/>
    </row>
    <row r="328" spans="7:14" x14ac:dyDescent="0.2">
      <c r="G328" s="128"/>
      <c r="H328" s="171" t="str">
        <f t="shared" si="8"/>
        <v>TD8-E15</v>
      </c>
      <c r="I328" s="145">
        <v>6721</v>
      </c>
      <c r="J328" s="146" t="s">
        <v>353</v>
      </c>
      <c r="K328" s="147" t="s">
        <v>354</v>
      </c>
      <c r="L328" s="146" t="s">
        <v>383</v>
      </c>
      <c r="M328" s="165" t="s">
        <v>384</v>
      </c>
      <c r="N328" s="129"/>
    </row>
    <row r="329" spans="7:14" x14ac:dyDescent="0.2">
      <c r="G329" s="128"/>
      <c r="H329" s="171" t="str">
        <f t="shared" si="8"/>
        <v>TD8-E16</v>
      </c>
      <c r="I329" s="145">
        <v>6722</v>
      </c>
      <c r="J329" s="146" t="s">
        <v>353</v>
      </c>
      <c r="K329" s="147" t="s">
        <v>354</v>
      </c>
      <c r="L329" s="146" t="s">
        <v>385</v>
      </c>
      <c r="M329" s="165" t="s">
        <v>386</v>
      </c>
      <c r="N329" s="129"/>
    </row>
    <row r="330" spans="7:14" x14ac:dyDescent="0.2">
      <c r="G330" s="128"/>
      <c r="H330" s="171" t="str">
        <f t="shared" si="8"/>
        <v>TD8-E17</v>
      </c>
      <c r="I330" s="145">
        <v>6723</v>
      </c>
      <c r="J330" s="146" t="s">
        <v>353</v>
      </c>
      <c r="K330" s="147" t="s">
        <v>354</v>
      </c>
      <c r="L330" s="146" t="s">
        <v>387</v>
      </c>
      <c r="M330" s="165" t="s">
        <v>388</v>
      </c>
      <c r="N330" s="129"/>
    </row>
    <row r="331" spans="7:14" x14ac:dyDescent="0.2">
      <c r="G331" s="128"/>
      <c r="H331" s="171" t="str">
        <f t="shared" si="8"/>
        <v>TD8-E18</v>
      </c>
      <c r="I331" s="145">
        <v>6724</v>
      </c>
      <c r="J331" s="146" t="s">
        <v>353</v>
      </c>
      <c r="K331" s="147" t="s">
        <v>354</v>
      </c>
      <c r="L331" s="146" t="s">
        <v>389</v>
      </c>
      <c r="M331" s="165" t="s">
        <v>390</v>
      </c>
      <c r="N331" s="129"/>
    </row>
    <row r="332" spans="7:14" x14ac:dyDescent="0.2">
      <c r="G332" s="128"/>
      <c r="H332" s="171" t="str">
        <f t="shared" si="8"/>
        <v>TD8-E19</v>
      </c>
      <c r="I332" s="145">
        <v>6725</v>
      </c>
      <c r="J332" s="146" t="s">
        <v>353</v>
      </c>
      <c r="K332" s="147" t="s">
        <v>354</v>
      </c>
      <c r="L332" s="146" t="s">
        <v>391</v>
      </c>
      <c r="M332" s="165" t="s">
        <v>392</v>
      </c>
      <c r="N332" s="129"/>
    </row>
    <row r="333" spans="7:14" x14ac:dyDescent="0.2">
      <c r="G333" s="128"/>
      <c r="H333" s="171" t="str">
        <f t="shared" si="8"/>
        <v>TD8-E20</v>
      </c>
      <c r="I333" s="145">
        <v>6726</v>
      </c>
      <c r="J333" s="146" t="s">
        <v>353</v>
      </c>
      <c r="K333" s="147" t="s">
        <v>354</v>
      </c>
      <c r="L333" s="146"/>
      <c r="M333" s="165" t="s">
        <v>393</v>
      </c>
      <c r="N333" s="129"/>
    </row>
    <row r="334" spans="7:14" ht="17" thickBot="1" x14ac:dyDescent="0.25">
      <c r="G334" s="128"/>
      <c r="H334" s="171" t="str">
        <f t="shared" si="8"/>
        <v>TD8-E21</v>
      </c>
      <c r="I334" s="140">
        <v>6727</v>
      </c>
      <c r="J334" s="141" t="s">
        <v>353</v>
      </c>
      <c r="K334" s="151" t="s">
        <v>354</v>
      </c>
      <c r="L334" s="141"/>
      <c r="M334" s="142" t="s">
        <v>393</v>
      </c>
      <c r="N334" s="129"/>
    </row>
    <row r="335" spans="7:14" x14ac:dyDescent="0.2">
      <c r="G335" s="128"/>
      <c r="H335" s="171" t="str">
        <f t="shared" si="8"/>
        <v>RK08-P1</v>
      </c>
      <c r="I335" s="153">
        <v>6731</v>
      </c>
      <c r="J335" s="154" t="s">
        <v>452</v>
      </c>
      <c r="K335" s="155" t="s">
        <v>451</v>
      </c>
      <c r="L335" s="154" t="s">
        <v>453</v>
      </c>
      <c r="M335" s="156" t="s">
        <v>455</v>
      </c>
      <c r="N335" s="129"/>
    </row>
    <row r="336" spans="7:14" x14ac:dyDescent="0.2">
      <c r="G336" s="128"/>
      <c r="H336" s="171" t="str">
        <f t="shared" si="8"/>
        <v>RK08-P2</v>
      </c>
      <c r="I336" s="157">
        <v>6732</v>
      </c>
      <c r="J336" s="158" t="s">
        <v>452</v>
      </c>
      <c r="K336" s="159" t="s">
        <v>451</v>
      </c>
      <c r="L336" s="158" t="s">
        <v>454</v>
      </c>
      <c r="M336" s="160" t="s">
        <v>364</v>
      </c>
      <c r="N336" s="129"/>
    </row>
    <row r="337" spans="7:14" x14ac:dyDescent="0.2">
      <c r="G337" s="128"/>
      <c r="H337" s="171" t="str">
        <f t="shared" si="8"/>
        <v>RK08-P3</v>
      </c>
      <c r="I337" s="157">
        <v>6733</v>
      </c>
      <c r="J337" s="158" t="s">
        <v>452</v>
      </c>
      <c r="K337" s="159" t="s">
        <v>451</v>
      </c>
      <c r="L337" s="158" t="s">
        <v>456</v>
      </c>
      <c r="M337" s="160" t="s">
        <v>458</v>
      </c>
      <c r="N337" s="129"/>
    </row>
    <row r="338" spans="7:14" x14ac:dyDescent="0.2">
      <c r="G338" s="128"/>
      <c r="H338" s="171" t="str">
        <f t="shared" si="8"/>
        <v>RK08-P4</v>
      </c>
      <c r="I338" s="157">
        <v>6734</v>
      </c>
      <c r="J338" s="158" t="s">
        <v>452</v>
      </c>
      <c r="K338" s="159" t="s">
        <v>451</v>
      </c>
      <c r="L338" s="158" t="s">
        <v>457</v>
      </c>
      <c r="M338" s="160" t="s">
        <v>459</v>
      </c>
      <c r="N338" s="129"/>
    </row>
    <row r="339" spans="7:14" x14ac:dyDescent="0.2">
      <c r="G339" s="128"/>
      <c r="H339" s="171" t="str">
        <f t="shared" si="8"/>
        <v>RK08-P5</v>
      </c>
      <c r="I339" s="157">
        <v>6735</v>
      </c>
      <c r="J339" s="158" t="s">
        <v>452</v>
      </c>
      <c r="K339" s="159" t="s">
        <v>451</v>
      </c>
      <c r="L339" s="158" t="s">
        <v>460</v>
      </c>
      <c r="M339" s="160" t="s">
        <v>463</v>
      </c>
      <c r="N339" s="129"/>
    </row>
    <row r="340" spans="7:14" x14ac:dyDescent="0.2">
      <c r="G340" s="128"/>
      <c r="H340" s="171" t="str">
        <f t="shared" si="8"/>
        <v>RK08-P6</v>
      </c>
      <c r="I340" s="157">
        <v>6736</v>
      </c>
      <c r="J340" s="158" t="s">
        <v>452</v>
      </c>
      <c r="K340" s="159" t="s">
        <v>451</v>
      </c>
      <c r="L340" s="158" t="s">
        <v>461</v>
      </c>
      <c r="M340" s="160" t="s">
        <v>464</v>
      </c>
      <c r="N340" s="129"/>
    </row>
    <row r="341" spans="7:14" x14ac:dyDescent="0.2">
      <c r="G341" s="128"/>
      <c r="H341" s="171" t="str">
        <f t="shared" si="8"/>
        <v>RK08-P7</v>
      </c>
      <c r="I341" s="157">
        <v>6737</v>
      </c>
      <c r="J341" s="158" t="s">
        <v>452</v>
      </c>
      <c r="K341" s="159" t="s">
        <v>451</v>
      </c>
      <c r="L341" s="158" t="s">
        <v>462</v>
      </c>
      <c r="M341" s="160" t="s">
        <v>465</v>
      </c>
      <c r="N341" s="129"/>
    </row>
    <row r="342" spans="7:14" x14ac:dyDescent="0.2">
      <c r="G342" s="128"/>
      <c r="H342" s="171" t="str">
        <f t="shared" si="8"/>
        <v>RK08-P8</v>
      </c>
      <c r="I342" s="157">
        <v>6741</v>
      </c>
      <c r="J342" s="158" t="s">
        <v>452</v>
      </c>
      <c r="K342" s="159" t="s">
        <v>451</v>
      </c>
      <c r="L342" s="158" t="s">
        <v>466</v>
      </c>
      <c r="M342" s="160" t="s">
        <v>467</v>
      </c>
      <c r="N342" s="129"/>
    </row>
    <row r="343" spans="7:14" x14ac:dyDescent="0.2">
      <c r="G343" s="128"/>
      <c r="H343" s="171" t="str">
        <f t="shared" si="8"/>
        <v>RK08-P9</v>
      </c>
      <c r="I343" s="157">
        <v>6742</v>
      </c>
      <c r="J343" s="158" t="s">
        <v>452</v>
      </c>
      <c r="K343" s="159" t="s">
        <v>451</v>
      </c>
      <c r="L343" s="158" t="s">
        <v>468</v>
      </c>
      <c r="M343" s="160" t="s">
        <v>470</v>
      </c>
      <c r="N343" s="129"/>
    </row>
    <row r="344" spans="7:14" x14ac:dyDescent="0.2">
      <c r="G344" s="128"/>
      <c r="H344" s="171" t="str">
        <f t="shared" si="8"/>
        <v>RK08-P10</v>
      </c>
      <c r="I344" s="157">
        <v>6743</v>
      </c>
      <c r="J344" s="158" t="s">
        <v>452</v>
      </c>
      <c r="K344" s="159" t="s">
        <v>451</v>
      </c>
      <c r="L344" s="158" t="s">
        <v>469</v>
      </c>
      <c r="M344" s="160" t="s">
        <v>471</v>
      </c>
      <c r="N344" s="129"/>
    </row>
    <row r="345" spans="7:14" x14ac:dyDescent="0.2">
      <c r="G345" s="128"/>
      <c r="H345" s="171" t="str">
        <f t="shared" si="8"/>
        <v>RK08-P11</v>
      </c>
      <c r="I345" s="157">
        <v>6745</v>
      </c>
      <c r="J345" s="158" t="s">
        <v>452</v>
      </c>
      <c r="K345" s="159" t="s">
        <v>451</v>
      </c>
      <c r="L345" s="158" t="s">
        <v>472</v>
      </c>
      <c r="M345" s="160" t="s">
        <v>476</v>
      </c>
      <c r="N345" s="129"/>
    </row>
    <row r="346" spans="7:14" x14ac:dyDescent="0.2">
      <c r="G346" s="128"/>
      <c r="H346" s="171" t="str">
        <f t="shared" si="8"/>
        <v>RK08-P12</v>
      </c>
      <c r="I346" s="157">
        <v>6747</v>
      </c>
      <c r="J346" s="158" t="s">
        <v>452</v>
      </c>
      <c r="K346" s="159" t="s">
        <v>451</v>
      </c>
      <c r="L346" s="158" t="s">
        <v>473</v>
      </c>
      <c r="M346" s="160" t="s">
        <v>477</v>
      </c>
      <c r="N346" s="129"/>
    </row>
    <row r="347" spans="7:14" x14ac:dyDescent="0.2">
      <c r="G347" s="128"/>
      <c r="H347" s="171" t="str">
        <f t="shared" si="8"/>
        <v>RK08-P13</v>
      </c>
      <c r="I347" s="157">
        <v>6751</v>
      </c>
      <c r="J347" s="158" t="s">
        <v>452</v>
      </c>
      <c r="K347" s="159" t="s">
        <v>451</v>
      </c>
      <c r="L347" s="158" t="s">
        <v>474</v>
      </c>
      <c r="M347" s="160" t="s">
        <v>397</v>
      </c>
      <c r="N347" s="129"/>
    </row>
    <row r="348" spans="7:14" x14ac:dyDescent="0.2">
      <c r="G348" s="128"/>
      <c r="H348" s="171" t="str">
        <f t="shared" si="8"/>
        <v>RK08-P14</v>
      </c>
      <c r="I348" s="157">
        <v>6752</v>
      </c>
      <c r="J348" s="158" t="s">
        <v>452</v>
      </c>
      <c r="K348" s="159" t="s">
        <v>451</v>
      </c>
      <c r="L348" s="158" t="s">
        <v>475</v>
      </c>
      <c r="M348" s="160" t="s">
        <v>370</v>
      </c>
      <c r="N348" s="129"/>
    </row>
    <row r="349" spans="7:14" x14ac:dyDescent="0.2">
      <c r="G349" s="128"/>
      <c r="H349" s="171" t="str">
        <f t="shared" si="8"/>
        <v>RK08-P15</v>
      </c>
      <c r="I349" s="157">
        <v>6753</v>
      </c>
      <c r="J349" s="158" t="s">
        <v>452</v>
      </c>
      <c r="K349" s="159" t="s">
        <v>451</v>
      </c>
      <c r="L349" s="158" t="s">
        <v>478</v>
      </c>
      <c r="M349" s="160" t="s">
        <v>356</v>
      </c>
      <c r="N349" s="129"/>
    </row>
    <row r="350" spans="7:14" x14ac:dyDescent="0.2">
      <c r="G350" s="128"/>
      <c r="H350" s="171" t="str">
        <f t="shared" si="8"/>
        <v>RK08-P16</v>
      </c>
      <c r="I350" s="157">
        <v>6755</v>
      </c>
      <c r="J350" s="158" t="s">
        <v>452</v>
      </c>
      <c r="K350" s="159" t="s">
        <v>451</v>
      </c>
      <c r="L350" s="158" t="s">
        <v>479</v>
      </c>
      <c r="M350" s="160" t="s">
        <v>360</v>
      </c>
      <c r="N350" s="129"/>
    </row>
    <row r="351" spans="7:14" ht="17" thickBot="1" x14ac:dyDescent="0.25">
      <c r="G351" s="128"/>
      <c r="H351" s="171" t="str">
        <f t="shared" si="8"/>
        <v>RK08-P17</v>
      </c>
      <c r="I351" s="161">
        <v>6757</v>
      </c>
      <c r="J351" s="162" t="s">
        <v>452</v>
      </c>
      <c r="K351" s="163" t="s">
        <v>451</v>
      </c>
      <c r="L351" s="162" t="s">
        <v>480</v>
      </c>
      <c r="M351" s="164" t="s">
        <v>374</v>
      </c>
      <c r="N351" s="129"/>
    </row>
    <row r="352" spans="7:14" x14ac:dyDescent="0.2">
      <c r="G352" s="128"/>
      <c r="H352" s="171" t="str">
        <f t="shared" si="8"/>
        <v>RX8E1</v>
      </c>
      <c r="I352" s="137">
        <v>6750</v>
      </c>
      <c r="J352" s="138" t="s">
        <v>709</v>
      </c>
      <c r="K352" s="143" t="s">
        <v>710</v>
      </c>
      <c r="L352" s="138"/>
      <c r="M352" s="139" t="s">
        <v>711</v>
      </c>
      <c r="N352" s="129"/>
    </row>
    <row r="353" spans="7:14" x14ac:dyDescent="0.2">
      <c r="G353" s="128"/>
      <c r="H353" s="171" t="str">
        <f t="shared" si="8"/>
        <v>RX8E2</v>
      </c>
      <c r="I353" s="145">
        <v>6751</v>
      </c>
      <c r="J353" s="146" t="s">
        <v>709</v>
      </c>
      <c r="K353" s="147" t="s">
        <v>710</v>
      </c>
      <c r="L353" s="146" t="s">
        <v>712</v>
      </c>
      <c r="M353" s="165" t="s">
        <v>719</v>
      </c>
      <c r="N353" s="129"/>
    </row>
    <row r="354" spans="7:14" x14ac:dyDescent="0.2">
      <c r="G354" s="128"/>
      <c r="H354" s="171" t="str">
        <f t="shared" si="8"/>
        <v>RX8E3</v>
      </c>
      <c r="I354" s="145">
        <v>6752</v>
      </c>
      <c r="J354" s="146" t="s">
        <v>709</v>
      </c>
      <c r="K354" s="147" t="s">
        <v>710</v>
      </c>
      <c r="L354" s="146" t="s">
        <v>713</v>
      </c>
      <c r="M354" s="165" t="s">
        <v>720</v>
      </c>
      <c r="N354" s="129"/>
    </row>
    <row r="355" spans="7:14" x14ac:dyDescent="0.2">
      <c r="G355" s="128"/>
      <c r="H355" s="171" t="str">
        <f t="shared" si="8"/>
        <v>RX8E4</v>
      </c>
      <c r="I355" s="145">
        <v>6753</v>
      </c>
      <c r="J355" s="146" t="s">
        <v>709</v>
      </c>
      <c r="K355" s="147" t="s">
        <v>710</v>
      </c>
      <c r="L355" s="146" t="s">
        <v>714</v>
      </c>
      <c r="M355" s="165" t="s">
        <v>721</v>
      </c>
      <c r="N355" s="129"/>
    </row>
    <row r="356" spans="7:14" x14ac:dyDescent="0.2">
      <c r="G356" s="128"/>
      <c r="H356" s="171" t="str">
        <f t="shared" si="8"/>
        <v>RX8E5</v>
      </c>
      <c r="I356" s="145">
        <v>6754</v>
      </c>
      <c r="J356" s="146" t="s">
        <v>709</v>
      </c>
      <c r="K356" s="147" t="s">
        <v>710</v>
      </c>
      <c r="L356" s="146" t="s">
        <v>715</v>
      </c>
      <c r="M356" s="165" t="s">
        <v>722</v>
      </c>
      <c r="N356" s="129"/>
    </row>
    <row r="357" spans="7:14" x14ac:dyDescent="0.2">
      <c r="G357" s="128"/>
      <c r="H357" s="171" t="str">
        <f t="shared" si="8"/>
        <v>RX8E6</v>
      </c>
      <c r="I357" s="145">
        <v>6755</v>
      </c>
      <c r="J357" s="146" t="s">
        <v>709</v>
      </c>
      <c r="K357" s="147" t="s">
        <v>710</v>
      </c>
      <c r="L357" s="146" t="s">
        <v>716</v>
      </c>
      <c r="M357" s="165" t="s">
        <v>727</v>
      </c>
      <c r="N357" s="129"/>
    </row>
    <row r="358" spans="7:14" x14ac:dyDescent="0.2">
      <c r="G358" s="128"/>
      <c r="H358" s="171" t="str">
        <f t="shared" si="8"/>
        <v>RX8E7</v>
      </c>
      <c r="I358" s="145">
        <v>6756</v>
      </c>
      <c r="J358" s="146" t="s">
        <v>709</v>
      </c>
      <c r="K358" s="147" t="s">
        <v>710</v>
      </c>
      <c r="L358" s="146" t="s">
        <v>717</v>
      </c>
      <c r="M358" s="165" t="s">
        <v>723</v>
      </c>
      <c r="N358" s="129"/>
    </row>
    <row r="359" spans="7:14" ht="17" thickBot="1" x14ac:dyDescent="0.25">
      <c r="G359" s="128"/>
      <c r="H359" s="171" t="str">
        <f t="shared" si="8"/>
        <v>RX8E8</v>
      </c>
      <c r="I359" s="140">
        <v>6757</v>
      </c>
      <c r="J359" s="141" t="s">
        <v>709</v>
      </c>
      <c r="K359" s="151" t="s">
        <v>710</v>
      </c>
      <c r="L359" s="141" t="s">
        <v>718</v>
      </c>
      <c r="M359" s="142" t="s">
        <v>724</v>
      </c>
      <c r="N359" s="129"/>
    </row>
    <row r="360" spans="7:14" x14ac:dyDescent="0.2">
      <c r="G360" s="128"/>
      <c r="H360" s="171" t="str">
        <f t="shared" si="8"/>
        <v>RX281</v>
      </c>
      <c r="I360" s="153">
        <v>6750</v>
      </c>
      <c r="J360" s="154" t="s">
        <v>726</v>
      </c>
      <c r="K360" s="155" t="s">
        <v>725</v>
      </c>
      <c r="L360" s="154"/>
      <c r="M360" s="156" t="s">
        <v>711</v>
      </c>
      <c r="N360" s="129"/>
    </row>
    <row r="361" spans="7:14" x14ac:dyDescent="0.2">
      <c r="G361" s="128"/>
      <c r="H361" s="171" t="str">
        <f t="shared" si="8"/>
        <v>RX282</v>
      </c>
      <c r="I361" s="157">
        <v>6751</v>
      </c>
      <c r="J361" s="158" t="s">
        <v>726</v>
      </c>
      <c r="K361" s="159" t="s">
        <v>725</v>
      </c>
      <c r="L361" s="158" t="s">
        <v>712</v>
      </c>
      <c r="M361" s="160" t="s">
        <v>719</v>
      </c>
      <c r="N361" s="129"/>
    </row>
    <row r="362" spans="7:14" x14ac:dyDescent="0.2">
      <c r="G362" s="128"/>
      <c r="H362" s="171" t="str">
        <f t="shared" ref="H362:H385" si="9">IF(J361=J362,CONCATENATE(J362,VALUE(RIGHT(H361,LEN(H361)-LEN(J361)))+1),CONCATENATE(J362,1))</f>
        <v>RX283</v>
      </c>
      <c r="I362" s="157">
        <v>6752</v>
      </c>
      <c r="J362" s="158" t="s">
        <v>726</v>
      </c>
      <c r="K362" s="159" t="s">
        <v>725</v>
      </c>
      <c r="L362" s="158" t="s">
        <v>713</v>
      </c>
      <c r="M362" s="160" t="s">
        <v>720</v>
      </c>
      <c r="N362" s="129"/>
    </row>
    <row r="363" spans="7:14" x14ac:dyDescent="0.2">
      <c r="G363" s="128"/>
      <c r="H363" s="171" t="str">
        <f t="shared" si="9"/>
        <v>RX284</v>
      </c>
      <c r="I363" s="157">
        <v>6753</v>
      </c>
      <c r="J363" s="158" t="s">
        <v>726</v>
      </c>
      <c r="K363" s="159" t="s">
        <v>725</v>
      </c>
      <c r="L363" s="158" t="s">
        <v>714</v>
      </c>
      <c r="M363" s="160" t="s">
        <v>721</v>
      </c>
      <c r="N363" s="129"/>
    </row>
    <row r="364" spans="7:14" x14ac:dyDescent="0.2">
      <c r="G364" s="128"/>
      <c r="H364" s="171" t="str">
        <f t="shared" si="9"/>
        <v>RX285</v>
      </c>
      <c r="I364" s="157">
        <v>6754</v>
      </c>
      <c r="J364" s="158" t="s">
        <v>726</v>
      </c>
      <c r="K364" s="159" t="s">
        <v>725</v>
      </c>
      <c r="L364" s="158" t="s">
        <v>715</v>
      </c>
      <c r="M364" s="160" t="s">
        <v>722</v>
      </c>
      <c r="N364" s="129"/>
    </row>
    <row r="365" spans="7:14" x14ac:dyDescent="0.2">
      <c r="G365" s="128"/>
      <c r="H365" s="171" t="str">
        <f t="shared" si="9"/>
        <v>RX286</v>
      </c>
      <c r="I365" s="157">
        <v>6755</v>
      </c>
      <c r="J365" s="158" t="s">
        <v>726</v>
      </c>
      <c r="K365" s="159" t="s">
        <v>725</v>
      </c>
      <c r="L365" s="158" t="s">
        <v>716</v>
      </c>
      <c r="M365" s="160" t="s">
        <v>727</v>
      </c>
      <c r="N365" s="129"/>
    </row>
    <row r="366" spans="7:14" x14ac:dyDescent="0.2">
      <c r="G366" s="128"/>
      <c r="H366" s="171" t="str">
        <f t="shared" si="9"/>
        <v>RX287</v>
      </c>
      <c r="I366" s="157">
        <v>6756</v>
      </c>
      <c r="J366" s="158" t="s">
        <v>726</v>
      </c>
      <c r="K366" s="159" t="s">
        <v>725</v>
      </c>
      <c r="L366" s="158" t="s">
        <v>717</v>
      </c>
      <c r="M366" s="160" t="s">
        <v>723</v>
      </c>
      <c r="N366" s="129"/>
    </row>
    <row r="367" spans="7:14" ht="17" thickBot="1" x14ac:dyDescent="0.25">
      <c r="G367" s="128"/>
      <c r="H367" s="171" t="str">
        <f t="shared" si="9"/>
        <v>RX288</v>
      </c>
      <c r="I367" s="161">
        <v>6757</v>
      </c>
      <c r="J367" s="162" t="s">
        <v>726</v>
      </c>
      <c r="K367" s="163" t="s">
        <v>725</v>
      </c>
      <c r="L367" s="162" t="s">
        <v>718</v>
      </c>
      <c r="M367" s="164" t="s">
        <v>724</v>
      </c>
      <c r="N367" s="129"/>
    </row>
    <row r="368" spans="7:14" x14ac:dyDescent="0.2">
      <c r="G368" s="128"/>
      <c r="H368" s="171" t="str">
        <f t="shared" si="9"/>
        <v>TC08-P1</v>
      </c>
      <c r="I368" s="137">
        <v>6761</v>
      </c>
      <c r="J368" s="138" t="s">
        <v>521</v>
      </c>
      <c r="K368" s="143" t="s">
        <v>522</v>
      </c>
      <c r="L368" s="138" t="s">
        <v>523</v>
      </c>
      <c r="M368" s="139" t="s">
        <v>535</v>
      </c>
      <c r="N368" s="129"/>
    </row>
    <row r="369" spans="7:14" x14ac:dyDescent="0.2">
      <c r="G369" s="128"/>
      <c r="H369" s="171" t="str">
        <f t="shared" si="9"/>
        <v>TC08-P2</v>
      </c>
      <c r="I369" s="145">
        <v>6762</v>
      </c>
      <c r="J369" s="146" t="s">
        <v>521</v>
      </c>
      <c r="K369" s="147" t="s">
        <v>522</v>
      </c>
      <c r="L369" s="146" t="s">
        <v>524</v>
      </c>
      <c r="M369" s="165" t="s">
        <v>525</v>
      </c>
      <c r="N369" s="129"/>
    </row>
    <row r="370" spans="7:14" x14ac:dyDescent="0.2">
      <c r="G370" s="128"/>
      <c r="H370" s="171" t="str">
        <f t="shared" si="9"/>
        <v>TC08-P3</v>
      </c>
      <c r="I370" s="145">
        <v>6766</v>
      </c>
      <c r="J370" s="146" t="s">
        <v>521</v>
      </c>
      <c r="K370" s="147" t="s">
        <v>522</v>
      </c>
      <c r="L370" s="146" t="s">
        <v>526</v>
      </c>
      <c r="M370" s="165" t="s">
        <v>528</v>
      </c>
      <c r="N370" s="129"/>
    </row>
    <row r="371" spans="7:14" x14ac:dyDescent="0.2">
      <c r="G371" s="128"/>
      <c r="H371" s="171" t="str">
        <f t="shared" si="9"/>
        <v>TC08-P4</v>
      </c>
      <c r="I371" s="145">
        <v>6764</v>
      </c>
      <c r="J371" s="146" t="s">
        <v>521</v>
      </c>
      <c r="K371" s="147" t="s">
        <v>522</v>
      </c>
      <c r="L371" s="146" t="s">
        <v>527</v>
      </c>
      <c r="M371" s="165" t="s">
        <v>529</v>
      </c>
      <c r="N371" s="129"/>
    </row>
    <row r="372" spans="7:14" x14ac:dyDescent="0.2">
      <c r="G372" s="128"/>
      <c r="H372" s="171" t="str">
        <f t="shared" si="9"/>
        <v>TC08-P5</v>
      </c>
      <c r="I372" s="145">
        <v>6771</v>
      </c>
      <c r="J372" s="146" t="s">
        <v>521</v>
      </c>
      <c r="K372" s="147" t="s">
        <v>522</v>
      </c>
      <c r="L372" s="146" t="s">
        <v>530</v>
      </c>
      <c r="M372" s="165" t="s">
        <v>418</v>
      </c>
      <c r="N372" s="129"/>
    </row>
    <row r="373" spans="7:14" x14ac:dyDescent="0.2">
      <c r="G373" s="128"/>
      <c r="H373" s="171" t="str">
        <f t="shared" si="9"/>
        <v>TC08-P6</v>
      </c>
      <c r="I373" s="145">
        <v>6772</v>
      </c>
      <c r="J373" s="146" t="s">
        <v>521</v>
      </c>
      <c r="K373" s="147" t="s">
        <v>522</v>
      </c>
      <c r="L373" s="146" t="s">
        <v>531</v>
      </c>
      <c r="M373" s="165" t="s">
        <v>533</v>
      </c>
      <c r="N373" s="129"/>
    </row>
    <row r="374" spans="7:14" ht="17" thickBot="1" x14ac:dyDescent="0.25">
      <c r="G374" s="128"/>
      <c r="H374" s="171" t="str">
        <f t="shared" si="9"/>
        <v>TC08-P7</v>
      </c>
      <c r="I374" s="140">
        <v>6774</v>
      </c>
      <c r="J374" s="141" t="s">
        <v>521</v>
      </c>
      <c r="K374" s="151" t="s">
        <v>522</v>
      </c>
      <c r="L374" s="141" t="s">
        <v>532</v>
      </c>
      <c r="M374" s="142" t="s">
        <v>534</v>
      </c>
      <c r="N374" s="129"/>
    </row>
    <row r="375" spans="7:14" x14ac:dyDescent="0.2">
      <c r="G375" s="128"/>
      <c r="H375" s="171" t="str">
        <f t="shared" si="9"/>
        <v>TC581</v>
      </c>
      <c r="I375" s="153">
        <v>6701</v>
      </c>
      <c r="J375" s="154" t="s">
        <v>536</v>
      </c>
      <c r="K375" s="155" t="s">
        <v>537</v>
      </c>
      <c r="L375" s="154" t="s">
        <v>538</v>
      </c>
      <c r="M375" s="156" t="s">
        <v>541</v>
      </c>
      <c r="N375" s="129"/>
    </row>
    <row r="376" spans="7:14" x14ac:dyDescent="0.2">
      <c r="G376" s="128"/>
      <c r="H376" s="171" t="str">
        <f t="shared" si="9"/>
        <v>TC582</v>
      </c>
      <c r="I376" s="157">
        <v>6702</v>
      </c>
      <c r="J376" s="158" t="s">
        <v>536</v>
      </c>
      <c r="K376" s="159" t="s">
        <v>537</v>
      </c>
      <c r="L376" s="158" t="s">
        <v>551</v>
      </c>
      <c r="M376" s="160" t="s">
        <v>556</v>
      </c>
      <c r="N376" s="129"/>
    </row>
    <row r="377" spans="7:14" x14ac:dyDescent="0.2">
      <c r="G377" s="128"/>
      <c r="H377" s="171" t="str">
        <f t="shared" si="9"/>
        <v>TC583</v>
      </c>
      <c r="I377" s="157">
        <v>6704</v>
      </c>
      <c r="J377" s="158" t="s">
        <v>536</v>
      </c>
      <c r="K377" s="159" t="s">
        <v>537</v>
      </c>
      <c r="L377" s="158" t="s">
        <v>551</v>
      </c>
      <c r="M377" s="160" t="s">
        <v>553</v>
      </c>
      <c r="N377" s="129"/>
    </row>
    <row r="378" spans="7:14" x14ac:dyDescent="0.2">
      <c r="G378" s="128"/>
      <c r="H378" s="171" t="str">
        <f t="shared" si="9"/>
        <v>TC584</v>
      </c>
      <c r="I378" s="157">
        <v>6706</v>
      </c>
      <c r="J378" s="158" t="s">
        <v>536</v>
      </c>
      <c r="K378" s="159" t="s">
        <v>537</v>
      </c>
      <c r="L378" s="158" t="s">
        <v>552</v>
      </c>
      <c r="M378" s="160" t="s">
        <v>410</v>
      </c>
      <c r="N378" s="129"/>
    </row>
    <row r="379" spans="7:14" x14ac:dyDescent="0.2">
      <c r="G379" s="128"/>
      <c r="H379" s="171" t="str">
        <f t="shared" si="9"/>
        <v>TC585</v>
      </c>
      <c r="I379" s="157">
        <v>6711</v>
      </c>
      <c r="J379" s="158" t="s">
        <v>536</v>
      </c>
      <c r="K379" s="159" t="s">
        <v>537</v>
      </c>
      <c r="L379" s="158" t="s">
        <v>539</v>
      </c>
      <c r="M379" s="160" t="s">
        <v>542</v>
      </c>
      <c r="N379" s="129"/>
    </row>
    <row r="380" spans="7:14" x14ac:dyDescent="0.2">
      <c r="G380" s="128"/>
      <c r="H380" s="171" t="str">
        <f t="shared" si="9"/>
        <v>TC586</v>
      </c>
      <c r="I380" s="157">
        <v>6712</v>
      </c>
      <c r="J380" s="158" t="s">
        <v>536</v>
      </c>
      <c r="K380" s="159" t="s">
        <v>537</v>
      </c>
      <c r="L380" s="158" t="s">
        <v>546</v>
      </c>
      <c r="M380" s="160" t="s">
        <v>547</v>
      </c>
      <c r="N380" s="129"/>
    </row>
    <row r="381" spans="7:14" x14ac:dyDescent="0.2">
      <c r="G381" s="128"/>
      <c r="H381" s="171" t="str">
        <f t="shared" si="9"/>
        <v>TC587</v>
      </c>
      <c r="I381" s="157">
        <v>6714</v>
      </c>
      <c r="J381" s="158" t="s">
        <v>536</v>
      </c>
      <c r="K381" s="159" t="s">
        <v>537</v>
      </c>
      <c r="L381" s="158" t="s">
        <v>545</v>
      </c>
      <c r="M381" s="160" t="s">
        <v>549</v>
      </c>
      <c r="N381" s="129"/>
    </row>
    <row r="382" spans="7:14" x14ac:dyDescent="0.2">
      <c r="G382" s="128"/>
      <c r="H382" s="171" t="str">
        <f t="shared" si="9"/>
        <v>TC588</v>
      </c>
      <c r="I382" s="157">
        <v>6716</v>
      </c>
      <c r="J382" s="158" t="s">
        <v>536</v>
      </c>
      <c r="K382" s="159" t="s">
        <v>537</v>
      </c>
      <c r="L382" s="158" t="s">
        <v>550</v>
      </c>
      <c r="M382" s="160" t="s">
        <v>364</v>
      </c>
      <c r="N382" s="129"/>
    </row>
    <row r="383" spans="7:14" x14ac:dyDescent="0.2">
      <c r="G383" s="128"/>
      <c r="H383" s="171" t="str">
        <f t="shared" si="9"/>
        <v>TC589</v>
      </c>
      <c r="I383" s="157">
        <v>6721</v>
      </c>
      <c r="J383" s="158" t="s">
        <v>536</v>
      </c>
      <c r="K383" s="159" t="s">
        <v>537</v>
      </c>
      <c r="L383" s="158" t="s">
        <v>540</v>
      </c>
      <c r="M383" s="160" t="s">
        <v>543</v>
      </c>
      <c r="N383" s="129"/>
    </row>
    <row r="384" spans="7:14" x14ac:dyDescent="0.2">
      <c r="G384" s="128"/>
      <c r="H384" s="171" t="str">
        <f t="shared" si="9"/>
        <v>TC5810</v>
      </c>
      <c r="I384" s="157">
        <v>6722</v>
      </c>
      <c r="J384" s="158" t="s">
        <v>536</v>
      </c>
      <c r="K384" s="159" t="s">
        <v>537</v>
      </c>
      <c r="L384" s="158" t="s">
        <v>554</v>
      </c>
      <c r="M384" s="160" t="s">
        <v>555</v>
      </c>
      <c r="N384" s="129"/>
    </row>
    <row r="385" spans="7:14" ht="17" thickBot="1" x14ac:dyDescent="0.25">
      <c r="G385" s="128"/>
      <c r="H385" s="172" t="str">
        <f t="shared" si="9"/>
        <v>TC5811</v>
      </c>
      <c r="I385" s="161">
        <v>6724</v>
      </c>
      <c r="J385" s="162" t="s">
        <v>536</v>
      </c>
      <c r="K385" s="163" t="s">
        <v>537</v>
      </c>
      <c r="L385" s="162" t="s">
        <v>544</v>
      </c>
      <c r="M385" s="164" t="s">
        <v>548</v>
      </c>
      <c r="N385" s="129"/>
    </row>
    <row r="386" spans="7:14" x14ac:dyDescent="0.2">
      <c r="G386" s="128"/>
      <c r="H386" s="129"/>
      <c r="I386" s="130"/>
      <c r="J386" s="130"/>
      <c r="K386" s="131"/>
      <c r="L386" s="130"/>
      <c r="M386" s="131"/>
      <c r="N386" s="129"/>
    </row>
  </sheetData>
  <sheetProtection sheet="1" objects="1" scenarios="1"/>
  <sortState ref="I86:M92">
    <sortCondition ref="I3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M847E</vt:lpstr>
      <vt:lpstr>Installed</vt:lpstr>
      <vt:lpstr>Disassembly</vt:lpstr>
      <vt:lpstr>Output</vt:lpstr>
      <vt:lpstr>PDP8E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Eberhard</dc:creator>
  <cp:lastModifiedBy>M. Eberhard</cp:lastModifiedBy>
  <dcterms:created xsi:type="dcterms:W3CDTF">2018-10-02T23:51:44Z</dcterms:created>
  <dcterms:modified xsi:type="dcterms:W3CDTF">2018-10-07T20:43:32Z</dcterms:modified>
</cp:coreProperties>
</file>